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daddeburgos-my.sharepoint.com/personal/obenito_ubu_es/Documents/Pectina/5. Membranas/Manuscrito/Repositorio/"/>
    </mc:Choice>
  </mc:AlternateContent>
  <xr:revisionPtr revIDLastSave="0" documentId="8_{70A53EE0-4FBB-47B2-AEE0-36F18B4AE02E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SubWH (feed) " sheetId="8" r:id="rId1"/>
    <sheet name="pH; Z-pot" sheetId="7" r:id="rId2"/>
    <sheet name="Ri, α " sheetId="6" r:id="rId3"/>
    <sheet name="100 kDa " sheetId="12" r:id="rId4"/>
    <sheet name="50 kDa " sheetId="11" r:id="rId5"/>
    <sheet name="10kDa" sheetId="10" r:id="rId6"/>
    <sheet name="1 kDa" sheetId="9" r:id="rId7"/>
  </sheets>
  <definedNames>
    <definedName name="_Hlk130918406" localSheetId="0">'SubWH (feed) '!$A$20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2" l="1"/>
  <c r="M15" i="12"/>
  <c r="N15" i="12"/>
  <c r="P4" i="9"/>
  <c r="L18" i="12"/>
  <c r="M18" i="12" s="1"/>
  <c r="M17" i="12"/>
  <c r="L17" i="12"/>
  <c r="K12" i="12"/>
  <c r="G12" i="12"/>
  <c r="B12" i="12"/>
  <c r="C12" i="12" s="1"/>
  <c r="E12" i="12" s="1"/>
  <c r="K11" i="12"/>
  <c r="G11" i="12"/>
  <c r="B11" i="12"/>
  <c r="C11" i="12" s="1"/>
  <c r="E11" i="12" s="1"/>
  <c r="K10" i="12"/>
  <c r="G10" i="12"/>
  <c r="C10" i="12"/>
  <c r="E10" i="12" s="1"/>
  <c r="B10" i="12"/>
  <c r="K9" i="12"/>
  <c r="G9" i="12"/>
  <c r="C9" i="12"/>
  <c r="E9" i="12" s="1"/>
  <c r="B9" i="12"/>
  <c r="K8" i="12"/>
  <c r="G8" i="12"/>
  <c r="B8" i="12"/>
  <c r="C8" i="12" s="1"/>
  <c r="E8" i="12" s="1"/>
  <c r="K7" i="12"/>
  <c r="G7" i="12"/>
  <c r="B7" i="12"/>
  <c r="C7" i="12" s="1"/>
  <c r="E7" i="12" s="1"/>
  <c r="K6" i="12"/>
  <c r="G6" i="12"/>
  <c r="B6" i="12"/>
  <c r="C6" i="12" s="1"/>
  <c r="E6" i="12" s="1"/>
  <c r="K5" i="12"/>
  <c r="G5" i="12"/>
  <c r="B5" i="12"/>
  <c r="C5" i="12" s="1"/>
  <c r="E5" i="12" s="1"/>
  <c r="K4" i="12"/>
  <c r="G4" i="12"/>
  <c r="B4" i="12"/>
  <c r="C4" i="12" s="1"/>
  <c r="E4" i="12" s="1"/>
  <c r="O3" i="12"/>
  <c r="L22" i="11"/>
  <c r="M22" i="11" s="1"/>
  <c r="M21" i="11"/>
  <c r="L21" i="11"/>
  <c r="K16" i="11"/>
  <c r="G16" i="11"/>
  <c r="C16" i="11"/>
  <c r="E16" i="11" s="1"/>
  <c r="K15" i="11"/>
  <c r="G15" i="11"/>
  <c r="C15" i="11"/>
  <c r="E15" i="11" s="1"/>
  <c r="K14" i="11"/>
  <c r="G14" i="11"/>
  <c r="C14" i="11"/>
  <c r="E14" i="11" s="1"/>
  <c r="K13" i="11"/>
  <c r="G13" i="11"/>
  <c r="C13" i="11"/>
  <c r="E13" i="11" s="1"/>
  <c r="K12" i="11"/>
  <c r="G12" i="11"/>
  <c r="C12" i="11"/>
  <c r="E12" i="11" s="1"/>
  <c r="K11" i="11"/>
  <c r="G11" i="11"/>
  <c r="C11" i="11"/>
  <c r="E11" i="11" s="1"/>
  <c r="K10" i="11"/>
  <c r="G10" i="11"/>
  <c r="C10" i="11"/>
  <c r="E10" i="11" s="1"/>
  <c r="K9" i="11"/>
  <c r="G9" i="11"/>
  <c r="C9" i="11"/>
  <c r="E9" i="11" s="1"/>
  <c r="K8" i="11"/>
  <c r="G8" i="11"/>
  <c r="C8" i="11"/>
  <c r="E8" i="11" s="1"/>
  <c r="K7" i="11"/>
  <c r="G7" i="11"/>
  <c r="C7" i="11"/>
  <c r="E7" i="11" s="1"/>
  <c r="K6" i="11"/>
  <c r="G6" i="11"/>
  <c r="B6" i="11"/>
  <c r="C6" i="11" s="1"/>
  <c r="E6" i="11" s="1"/>
  <c r="K5" i="11"/>
  <c r="G5" i="11"/>
  <c r="C5" i="11"/>
  <c r="E5" i="11" s="1"/>
  <c r="B5" i="11"/>
  <c r="M22" i="10"/>
  <c r="L22" i="10"/>
  <c r="L21" i="10"/>
  <c r="M21" i="10" s="1"/>
  <c r="G16" i="10"/>
  <c r="B16" i="10"/>
  <c r="C16" i="10" s="1"/>
  <c r="E16" i="10" s="1"/>
  <c r="G15" i="10"/>
  <c r="C15" i="10"/>
  <c r="E15" i="10" s="1"/>
  <c r="B15" i="10"/>
  <c r="K15" i="10" s="1"/>
  <c r="G14" i="10"/>
  <c r="B14" i="10"/>
  <c r="K14" i="10" s="1"/>
  <c r="G13" i="10"/>
  <c r="C13" i="10"/>
  <c r="E13" i="10" s="1"/>
  <c r="B13" i="10"/>
  <c r="K13" i="10" s="1"/>
  <c r="G12" i="10"/>
  <c r="B12" i="10"/>
  <c r="C12" i="10" s="1"/>
  <c r="E12" i="10" s="1"/>
  <c r="G11" i="10"/>
  <c r="C11" i="10"/>
  <c r="E11" i="10" s="1"/>
  <c r="B11" i="10"/>
  <c r="K11" i="10" s="1"/>
  <c r="G10" i="10"/>
  <c r="B10" i="10"/>
  <c r="C10" i="10" s="1"/>
  <c r="E10" i="10" s="1"/>
  <c r="G9" i="10"/>
  <c r="B9" i="10"/>
  <c r="K9" i="10" s="1"/>
  <c r="G8" i="10"/>
  <c r="B8" i="10"/>
  <c r="C8" i="10" s="1"/>
  <c r="E8" i="10" s="1"/>
  <c r="G7" i="10"/>
  <c r="C7" i="10"/>
  <c r="E7" i="10" s="1"/>
  <c r="B7" i="10"/>
  <c r="K7" i="10" s="1"/>
  <c r="G6" i="10"/>
  <c r="B6" i="10"/>
  <c r="K6" i="10" s="1"/>
  <c r="K5" i="10"/>
  <c r="G5" i="10"/>
  <c r="C5" i="10"/>
  <c r="E5" i="10" s="1"/>
  <c r="B5" i="10"/>
  <c r="M16" i="9"/>
  <c r="M15" i="9"/>
  <c r="K10" i="9"/>
  <c r="G10" i="9"/>
  <c r="B10" i="9"/>
  <c r="C10" i="9" s="1"/>
  <c r="E10" i="9" s="1"/>
  <c r="K9" i="9"/>
  <c r="G9" i="9"/>
  <c r="C9" i="9"/>
  <c r="E9" i="9" s="1"/>
  <c r="B9" i="9"/>
  <c r="K8" i="9"/>
  <c r="G8" i="9"/>
  <c r="C8" i="9"/>
  <c r="E8" i="9" s="1"/>
  <c r="B8" i="9"/>
  <c r="K7" i="9"/>
  <c r="G7" i="9"/>
  <c r="C7" i="9"/>
  <c r="E7" i="9" s="1"/>
  <c r="B7" i="9"/>
  <c r="K6" i="9"/>
  <c r="G6" i="9"/>
  <c r="B6" i="9"/>
  <c r="C6" i="9" s="1"/>
  <c r="E6" i="9" s="1"/>
  <c r="K5" i="9"/>
  <c r="G5" i="9"/>
  <c r="B5" i="9"/>
  <c r="C5" i="9" s="1"/>
  <c r="E5" i="9" s="1"/>
  <c r="K4" i="9"/>
  <c r="G4" i="9"/>
  <c r="B4" i="9"/>
  <c r="C4" i="9" s="1"/>
  <c r="E4" i="9" s="1"/>
  <c r="L4" i="12" l="1"/>
  <c r="F4" i="12"/>
  <c r="N4" i="12"/>
  <c r="M4" i="12"/>
  <c r="M7" i="12"/>
  <c r="L7" i="12"/>
  <c r="F7" i="12"/>
  <c r="N7" i="12"/>
  <c r="L6" i="12"/>
  <c r="N6" i="12"/>
  <c r="F6" i="12"/>
  <c r="M6" i="12"/>
  <c r="M9" i="12"/>
  <c r="L9" i="12"/>
  <c r="N9" i="12"/>
  <c r="F9" i="12"/>
  <c r="L12" i="12"/>
  <c r="N12" i="12"/>
  <c r="F12" i="12"/>
  <c r="M12" i="12"/>
  <c r="N5" i="12"/>
  <c r="F5" i="12"/>
  <c r="M5" i="12"/>
  <c r="L5" i="12"/>
  <c r="N8" i="12"/>
  <c r="F8" i="12"/>
  <c r="M8" i="12"/>
  <c r="L8" i="12"/>
  <c r="N11" i="12"/>
  <c r="F11" i="12"/>
  <c r="M11" i="12"/>
  <c r="L11" i="12"/>
  <c r="N10" i="12"/>
  <c r="F10" i="12"/>
  <c r="M10" i="12"/>
  <c r="L10" i="12"/>
  <c r="N12" i="11"/>
  <c r="F12" i="11"/>
  <c r="M12" i="11"/>
  <c r="L12" i="11"/>
  <c r="N7" i="11"/>
  <c r="F7" i="11"/>
  <c r="M7" i="11"/>
  <c r="L7" i="11"/>
  <c r="F15" i="11"/>
  <c r="N15" i="11"/>
  <c r="M15" i="11"/>
  <c r="L15" i="11"/>
  <c r="N10" i="11"/>
  <c r="F10" i="11"/>
  <c r="M10" i="11"/>
  <c r="L10" i="11"/>
  <c r="F9" i="11"/>
  <c r="N9" i="11"/>
  <c r="M9" i="11"/>
  <c r="L9" i="11"/>
  <c r="N5" i="11"/>
  <c r="F5" i="11"/>
  <c r="M5" i="11"/>
  <c r="L5" i="11"/>
  <c r="N8" i="11"/>
  <c r="F8" i="11"/>
  <c r="M8" i="11"/>
  <c r="L8" i="11"/>
  <c r="N16" i="11"/>
  <c r="F16" i="11"/>
  <c r="M16" i="11"/>
  <c r="L16" i="11"/>
  <c r="N11" i="11"/>
  <c r="F11" i="11"/>
  <c r="M11" i="11"/>
  <c r="L11" i="11"/>
  <c r="N13" i="11"/>
  <c r="F13" i="11"/>
  <c r="M13" i="11"/>
  <c r="L13" i="11"/>
  <c r="N6" i="11"/>
  <c r="F6" i="11"/>
  <c r="M6" i="11"/>
  <c r="L6" i="11"/>
  <c r="N14" i="11"/>
  <c r="F14" i="11"/>
  <c r="M14" i="11"/>
  <c r="L14" i="11"/>
  <c r="M5" i="10"/>
  <c r="L5" i="10"/>
  <c r="N5" i="10"/>
  <c r="F5" i="10"/>
  <c r="N16" i="10"/>
  <c r="F16" i="10"/>
  <c r="M16" i="10"/>
  <c r="L16" i="10"/>
  <c r="N15" i="10"/>
  <c r="F15" i="10"/>
  <c r="L15" i="10"/>
  <c r="M15" i="10"/>
  <c r="M13" i="10"/>
  <c r="L13" i="10"/>
  <c r="N13" i="10"/>
  <c r="F13" i="10"/>
  <c r="N7" i="10"/>
  <c r="M7" i="10"/>
  <c r="F7" i="10"/>
  <c r="L7" i="10"/>
  <c r="N8" i="10"/>
  <c r="F8" i="10"/>
  <c r="M8" i="10"/>
  <c r="L8" i="10"/>
  <c r="M12" i="10"/>
  <c r="N12" i="10"/>
  <c r="F12" i="10"/>
  <c r="L12" i="10"/>
  <c r="L10" i="10"/>
  <c r="M10" i="10"/>
  <c r="N10" i="10"/>
  <c r="F10" i="10"/>
  <c r="N11" i="10"/>
  <c r="F11" i="10"/>
  <c r="M11" i="10"/>
  <c r="L11" i="10"/>
  <c r="C9" i="10"/>
  <c r="E9" i="10" s="1"/>
  <c r="C6" i="10"/>
  <c r="E6" i="10" s="1"/>
  <c r="C14" i="10"/>
  <c r="E14" i="10" s="1"/>
  <c r="K8" i="10"/>
  <c r="K16" i="10"/>
  <c r="K12" i="10"/>
  <c r="K10" i="10"/>
  <c r="M5" i="9"/>
  <c r="N5" i="9"/>
  <c r="L5" i="9"/>
  <c r="F5" i="9"/>
  <c r="N9" i="9"/>
  <c r="F9" i="9"/>
  <c r="M9" i="9"/>
  <c r="L9" i="9"/>
  <c r="L6" i="9"/>
  <c r="N6" i="9"/>
  <c r="F6" i="9"/>
  <c r="M6" i="9"/>
  <c r="N8" i="9"/>
  <c r="F8" i="9"/>
  <c r="M8" i="9"/>
  <c r="L8" i="9"/>
  <c r="N4" i="9"/>
  <c r="M4" i="9"/>
  <c r="F4" i="9"/>
  <c r="L4" i="9"/>
  <c r="F7" i="9"/>
  <c r="N7" i="9"/>
  <c r="M7" i="9"/>
  <c r="L7" i="9"/>
  <c r="L10" i="9"/>
  <c r="N10" i="9"/>
  <c r="F10" i="9"/>
  <c r="M10" i="9"/>
  <c r="J9" i="12" l="1"/>
  <c r="H9" i="12"/>
  <c r="I9" i="12" s="1"/>
  <c r="J7" i="12"/>
  <c r="H7" i="12"/>
  <c r="I7" i="12" s="1"/>
  <c r="J10" i="12"/>
  <c r="H10" i="12"/>
  <c r="I10" i="12" s="1"/>
  <c r="H8" i="12"/>
  <c r="I8" i="12" s="1"/>
  <c r="J8" i="12"/>
  <c r="J4" i="12"/>
  <c r="H4" i="12"/>
  <c r="I4" i="12" s="1"/>
  <c r="L16" i="12"/>
  <c r="L14" i="12"/>
  <c r="L19" i="12" s="1"/>
  <c r="H11" i="12"/>
  <c r="I11" i="12" s="1"/>
  <c r="J11" i="12"/>
  <c r="H5" i="12"/>
  <c r="I5" i="12" s="1"/>
  <c r="J5" i="12"/>
  <c r="M14" i="12"/>
  <c r="M19" i="12" s="1"/>
  <c r="M16" i="12"/>
  <c r="J12" i="12"/>
  <c r="H12" i="12"/>
  <c r="I12" i="12" s="1"/>
  <c r="J6" i="12"/>
  <c r="H6" i="12"/>
  <c r="I6" i="12" s="1"/>
  <c r="N14" i="12"/>
  <c r="N19" i="12" s="1"/>
  <c r="N16" i="12"/>
  <c r="J16" i="11"/>
  <c r="H16" i="11"/>
  <c r="I16" i="11" s="1"/>
  <c r="J15" i="11"/>
  <c r="H15" i="11"/>
  <c r="I15" i="11" s="1"/>
  <c r="J10" i="11"/>
  <c r="H10" i="11"/>
  <c r="I10" i="11" s="1"/>
  <c r="J14" i="11"/>
  <c r="H14" i="11"/>
  <c r="I14" i="11" s="1"/>
  <c r="J11" i="11"/>
  <c r="H11" i="11"/>
  <c r="I11" i="11" s="1"/>
  <c r="M19" i="11"/>
  <c r="M18" i="11"/>
  <c r="M23" i="11" s="1"/>
  <c r="M20" i="11"/>
  <c r="J13" i="11"/>
  <c r="H13" i="11"/>
  <c r="I13" i="11" s="1"/>
  <c r="J5" i="11"/>
  <c r="H5" i="11"/>
  <c r="I5" i="11" s="1"/>
  <c r="J12" i="11"/>
  <c r="H12" i="11"/>
  <c r="I12" i="11" s="1"/>
  <c r="N18" i="11"/>
  <c r="N23" i="11" s="1"/>
  <c r="N19" i="11"/>
  <c r="N20" i="11"/>
  <c r="J6" i="11"/>
  <c r="H6" i="11"/>
  <c r="I6" i="11" s="1"/>
  <c r="J8" i="11"/>
  <c r="H8" i="11"/>
  <c r="I8" i="11" s="1"/>
  <c r="J7" i="11"/>
  <c r="H7" i="11"/>
  <c r="I7" i="11" s="1"/>
  <c r="J9" i="11"/>
  <c r="H9" i="11"/>
  <c r="I9" i="11" s="1"/>
  <c r="L20" i="11"/>
  <c r="L19" i="11"/>
  <c r="L18" i="11"/>
  <c r="L23" i="11" s="1"/>
  <c r="J11" i="10"/>
  <c r="H11" i="10"/>
  <c r="I11" i="10" s="1"/>
  <c r="J8" i="10"/>
  <c r="H8" i="10"/>
  <c r="I8" i="10" s="1"/>
  <c r="J10" i="10"/>
  <c r="H10" i="10"/>
  <c r="I10" i="10" s="1"/>
  <c r="J7" i="10"/>
  <c r="H7" i="10"/>
  <c r="I7" i="10" s="1"/>
  <c r="H5" i="10"/>
  <c r="I5" i="10" s="1"/>
  <c r="J5" i="10"/>
  <c r="H16" i="10"/>
  <c r="I16" i="10" s="1"/>
  <c r="J16" i="10"/>
  <c r="N6" i="10"/>
  <c r="N18" i="10" s="1"/>
  <c r="N23" i="10" s="1"/>
  <c r="F6" i="10"/>
  <c r="M6" i="10"/>
  <c r="M19" i="10" s="1"/>
  <c r="L6" i="10"/>
  <c r="J15" i="10"/>
  <c r="H15" i="10"/>
  <c r="I15" i="10" s="1"/>
  <c r="L20" i="10"/>
  <c r="L19" i="10"/>
  <c r="J12" i="10"/>
  <c r="H12" i="10"/>
  <c r="I12" i="10" s="1"/>
  <c r="N14" i="10"/>
  <c r="F14" i="10"/>
  <c r="M14" i="10"/>
  <c r="L14" i="10"/>
  <c r="L18" i="10" s="1"/>
  <c r="L23" i="10" s="1"/>
  <c r="N9" i="10"/>
  <c r="F9" i="10"/>
  <c r="L9" i="10"/>
  <c r="M9" i="10"/>
  <c r="J13" i="10"/>
  <c r="H13" i="10"/>
  <c r="I13" i="10" s="1"/>
  <c r="M20" i="10"/>
  <c r="M18" i="10"/>
  <c r="M23" i="10" s="1"/>
  <c r="J8" i="9"/>
  <c r="H8" i="9"/>
  <c r="I8" i="9" s="1"/>
  <c r="H9" i="9"/>
  <c r="I9" i="9" s="1"/>
  <c r="J9" i="9"/>
  <c r="M13" i="9"/>
  <c r="M14" i="9"/>
  <c r="M12" i="9"/>
  <c r="M17" i="9" s="1"/>
  <c r="L12" i="9"/>
  <c r="L17" i="9" s="1"/>
  <c r="L13" i="9"/>
  <c r="L14" i="9"/>
  <c r="J5" i="9"/>
  <c r="H5" i="9"/>
  <c r="I5" i="9" s="1"/>
  <c r="J7" i="9"/>
  <c r="H7" i="9"/>
  <c r="I7" i="9" s="1"/>
  <c r="H10" i="9"/>
  <c r="I10" i="9" s="1"/>
  <c r="J10" i="9"/>
  <c r="J4" i="9"/>
  <c r="H4" i="9"/>
  <c r="I4" i="9" s="1"/>
  <c r="H6" i="9"/>
  <c r="I6" i="9" s="1"/>
  <c r="J6" i="9"/>
  <c r="N12" i="9"/>
  <c r="N17" i="9" s="1"/>
  <c r="N14" i="9"/>
  <c r="N13" i="9"/>
  <c r="P5" i="12" l="1"/>
  <c r="P8" i="12"/>
  <c r="P11" i="12"/>
  <c r="P7" i="12"/>
  <c r="P6" i="12"/>
  <c r="P9" i="12"/>
  <c r="P12" i="12"/>
  <c r="P4" i="12"/>
  <c r="P10" i="12"/>
  <c r="P14" i="11"/>
  <c r="P12" i="11"/>
  <c r="P13" i="11"/>
  <c r="P10" i="11"/>
  <c r="P8" i="11"/>
  <c r="P15" i="11"/>
  <c r="P11" i="11"/>
  <c r="P16" i="11"/>
  <c r="P5" i="11"/>
  <c r="P6" i="11"/>
  <c r="P9" i="11"/>
  <c r="P7" i="11"/>
  <c r="N19" i="10"/>
  <c r="N20" i="10"/>
  <c r="H14" i="10"/>
  <c r="I14" i="10" s="1"/>
  <c r="J14" i="10"/>
  <c r="H9" i="10"/>
  <c r="I9" i="10" s="1"/>
  <c r="J9" i="10"/>
  <c r="H6" i="10"/>
  <c r="I6" i="10" s="1"/>
  <c r="J6" i="10"/>
  <c r="P6" i="9"/>
  <c r="P9" i="9"/>
  <c r="P10" i="9"/>
  <c r="P7" i="9"/>
  <c r="P5" i="9"/>
  <c r="P8" i="9"/>
  <c r="P5" i="10" l="1"/>
  <c r="P15" i="10"/>
  <c r="P13" i="10"/>
  <c r="P10" i="10"/>
  <c r="P7" i="10"/>
  <c r="P12" i="10"/>
  <c r="P11" i="10"/>
  <c r="P8" i="10"/>
  <c r="P6" i="10"/>
  <c r="P9" i="10"/>
  <c r="P14" i="10"/>
  <c r="B28" i="8" l="1"/>
  <c r="B17" i="8"/>
  <c r="B2" i="8"/>
  <c r="P4" i="7" l="1"/>
  <c r="P5" i="7"/>
  <c r="P6" i="7"/>
  <c r="P7" i="7"/>
  <c r="O4" i="7"/>
  <c r="O5" i="7"/>
  <c r="O6" i="7"/>
  <c r="O7" i="7"/>
  <c r="I4" i="7"/>
  <c r="H4" i="7"/>
  <c r="H5" i="7"/>
  <c r="H6" i="7"/>
  <c r="H7" i="7"/>
  <c r="I5" i="7"/>
  <c r="I6" i="7"/>
  <c r="I7" i="7"/>
  <c r="P3" i="7"/>
  <c r="O3" i="7"/>
  <c r="H3" i="7"/>
  <c r="I3" i="7"/>
  <c r="Q18" i="6" l="1"/>
  <c r="F5" i="6" l="1"/>
  <c r="H5" i="6"/>
  <c r="H3" i="6" l="1"/>
  <c r="J5" i="6" l="1"/>
  <c r="F3" i="6"/>
  <c r="I3" i="6" l="1"/>
  <c r="O4" i="6"/>
  <c r="O5" i="6"/>
  <c r="O6" i="6"/>
  <c r="O7" i="6"/>
  <c r="O8" i="6"/>
  <c r="O9" i="6"/>
  <c r="O10" i="6"/>
  <c r="O3" i="6"/>
  <c r="F4" i="6"/>
  <c r="F6" i="6"/>
  <c r="F7" i="6"/>
  <c r="F8" i="6"/>
  <c r="F9" i="6"/>
  <c r="F10" i="6"/>
  <c r="B19" i="6"/>
  <c r="F19" i="6" s="1"/>
  <c r="B20" i="6"/>
  <c r="F20" i="6" s="1"/>
  <c r="B21" i="6"/>
  <c r="F21" i="6" s="1"/>
  <c r="B22" i="6"/>
  <c r="O22" i="6" s="1"/>
  <c r="B23" i="6"/>
  <c r="O23" i="6" s="1"/>
  <c r="B24" i="6"/>
  <c r="O24" i="6" s="1"/>
  <c r="B25" i="6"/>
  <c r="O25" i="6" s="1"/>
  <c r="B18" i="6"/>
  <c r="F18" i="6" s="1"/>
  <c r="O21" i="6" l="1"/>
  <c r="O20" i="6"/>
  <c r="O19" i="6"/>
  <c r="O18" i="6"/>
  <c r="Q19" i="6"/>
  <c r="F22" i="6"/>
  <c r="F23" i="6"/>
  <c r="F24" i="6"/>
  <c r="F25" i="6"/>
  <c r="H8" i="6" l="1"/>
  <c r="H7" i="6"/>
  <c r="H9" i="6"/>
  <c r="H10" i="6"/>
  <c r="Q8" i="6"/>
  <c r="Q7" i="6"/>
  <c r="H6" i="6"/>
  <c r="Q6" i="6"/>
  <c r="Q5" i="6"/>
  <c r="Q10" i="6"/>
  <c r="Q9" i="6"/>
  <c r="Q4" i="6"/>
  <c r="H4" i="6"/>
  <c r="J4" i="6" s="1"/>
  <c r="J6" i="6" l="1"/>
  <c r="J10" i="6"/>
  <c r="J7" i="6"/>
  <c r="J8" i="6"/>
  <c r="J9" i="6"/>
  <c r="H25" i="6"/>
  <c r="Q20" i="6"/>
  <c r="H24" i="6"/>
  <c r="Q25" i="6"/>
  <c r="H22" i="6"/>
  <c r="Q22" i="6"/>
  <c r="H23" i="6"/>
  <c r="Q24" i="6"/>
  <c r="Q23" i="6"/>
  <c r="H21" i="6"/>
  <c r="H18" i="6"/>
  <c r="H20" i="6"/>
  <c r="Q21" i="6"/>
  <c r="H19" i="6"/>
  <c r="S19" i="6" l="1"/>
  <c r="J19" i="6"/>
  <c r="J21" i="6"/>
  <c r="J22" i="6"/>
  <c r="J20" i="6"/>
  <c r="J23" i="6"/>
  <c r="J24" i="6"/>
  <c r="J25" i="6"/>
  <c r="S20" i="6" l="1"/>
  <c r="S24" i="6"/>
  <c r="S25" i="6"/>
  <c r="S21" i="6"/>
  <c r="S23" i="6" l="1"/>
  <c r="S22" i="6"/>
  <c r="Q3" i="6" l="1"/>
  <c r="S9" i="6"/>
  <c r="S6" i="6" l="1"/>
  <c r="S4" i="6"/>
  <c r="S8" i="6"/>
  <c r="S7" i="6"/>
  <c r="S10" i="6"/>
  <c r="S5" i="6"/>
</calcChain>
</file>

<file path=xl/sharedStrings.xml><?xml version="1.0" encoding="utf-8"?>
<sst xmlns="http://schemas.openxmlformats.org/spreadsheetml/2006/main" count="238" uniqueCount="130">
  <si>
    <t>FA</t>
  </si>
  <si>
    <t>AcA</t>
  </si>
  <si>
    <t>R</t>
  </si>
  <si>
    <t>SD</t>
  </si>
  <si>
    <t>α</t>
  </si>
  <si>
    <t>GA</t>
  </si>
  <si>
    <t>POS</t>
  </si>
  <si>
    <t>10 kDa</t>
  </si>
  <si>
    <t>100 kDa</t>
  </si>
  <si>
    <t>gal</t>
  </si>
  <si>
    <t>glu</t>
  </si>
  <si>
    <t>xyl</t>
  </si>
  <si>
    <t>ara</t>
  </si>
  <si>
    <t xml:space="preserve">Cp </t>
  </si>
  <si>
    <t>DS</t>
  </si>
  <si>
    <t>1 kDa</t>
  </si>
  <si>
    <t>50 kDa</t>
  </si>
  <si>
    <t>Cp (g/L)</t>
  </si>
  <si>
    <t>Cr (g/L)</t>
  </si>
  <si>
    <t>C0 (g/L)</t>
  </si>
  <si>
    <t>COMPOSITION</t>
  </si>
  <si>
    <t>Galacturonic acid (g/L)</t>
  </si>
  <si>
    <t>3.94±0.02</t>
  </si>
  <si>
    <t>Galactose (g/L)</t>
  </si>
  <si>
    <t>0.486±0.006</t>
  </si>
  <si>
    <t>Glucose  (g/L)</t>
  </si>
  <si>
    <t>0.30±0.02</t>
  </si>
  <si>
    <t>Xylose (g/L)</t>
  </si>
  <si>
    <t>0.069±0.001</t>
  </si>
  <si>
    <t>Rhamnose (g/L)</t>
  </si>
  <si>
    <t>0.369±0.008</t>
  </si>
  <si>
    <t>Arabinose (g/L)</t>
  </si>
  <si>
    <t>0.005±0.001</t>
  </si>
  <si>
    <t>Free galacturonic acid (GA, g/L)</t>
  </si>
  <si>
    <t>0.324±0.004</t>
  </si>
  <si>
    <t>Free galactose (gal, g/L)</t>
  </si>
  <si>
    <t>0.09±0.01</t>
  </si>
  <si>
    <t>Free glucose (glu, g/L)</t>
  </si>
  <si>
    <t>0.296±0.007</t>
  </si>
  <si>
    <t>Free xylose (xyl, g/L)</t>
  </si>
  <si>
    <t>0.188±0.005</t>
  </si>
  <si>
    <t>Free rhamnose (rha, g/L)</t>
  </si>
  <si>
    <t>N.D.</t>
  </si>
  <si>
    <t>Free arabinose (ara, g/L)</t>
  </si>
  <si>
    <t>0.124±0.007</t>
  </si>
  <si>
    <t>Formic acid (FA, g/L)</t>
  </si>
  <si>
    <t>0.47±0.01</t>
  </si>
  <si>
    <t>Acetic acid (AcA, g/L)</t>
  </si>
  <si>
    <t>0.12±0.01</t>
  </si>
  <si>
    <t>Total phenolic compounds (TPC, g /L)</t>
  </si>
  <si>
    <t>Furfural (F, mg/L)</t>
  </si>
  <si>
    <t>0.041±0.002</t>
  </si>
  <si>
    <t>Hydroxymethylfurfural (HMF, g/L)</t>
  </si>
  <si>
    <t>0.008±0.001</t>
  </si>
  <si>
    <t>73.2±0.6</t>
  </si>
  <si>
    <t>4.3±0.1</t>
  </si>
  <si>
    <t>161.2±0.5</t>
  </si>
  <si>
    <t>7.4±0.3</t>
  </si>
  <si>
    <t>0.7±0.1</t>
  </si>
  <si>
    <t>31.4±0.4</t>
  </si>
  <si>
    <t>1.2±0.2</t>
  </si>
  <si>
    <t>2.1±0.1</t>
  </si>
  <si>
    <t>0.26±0.02</t>
  </si>
  <si>
    <t>0.73±0.02</t>
  </si>
  <si>
    <t>Protocatechuic acid (mg/L)</t>
  </si>
  <si>
    <t>Quercetin 3,4'-di-glucoside  (mg/L)</t>
  </si>
  <si>
    <t>Quercetin 3-glucoside  (mg/L)</t>
  </si>
  <si>
    <t>Quercetin 4'-glucoside  (mg/L)</t>
  </si>
  <si>
    <t>Quercetin  (mg/L)</t>
  </si>
  <si>
    <t>Myricetin (mg/L)</t>
  </si>
  <si>
    <t>Kaempferol (mg/L)</t>
  </si>
  <si>
    <t>Isorhamnetin (mg/L)</t>
  </si>
  <si>
    <t>Averag Z-pot</t>
  </si>
  <si>
    <t xml:space="preserve">Average pH </t>
  </si>
  <si>
    <t>Total pectic oligosaccharides (POS, g/L)</t>
  </si>
  <si>
    <t>T</t>
  </si>
  <si>
    <t>SubWH</t>
  </si>
  <si>
    <t>pH1</t>
  </si>
  <si>
    <t>pH2</t>
  </si>
  <si>
    <t>pH3</t>
  </si>
  <si>
    <t>pH4</t>
  </si>
  <si>
    <t>pH5</t>
  </si>
  <si>
    <t>Z1</t>
  </si>
  <si>
    <t>Z2</t>
  </si>
  <si>
    <t>Z3</t>
  </si>
  <si>
    <t>Z4</t>
  </si>
  <si>
    <t>Z5</t>
  </si>
  <si>
    <t>MWCO (kDa)</t>
  </si>
  <si>
    <t>Dehydration products (SDP)</t>
  </si>
  <si>
    <t>p-Hydroxybenzoic acid  (mg/L)</t>
  </si>
  <si>
    <t>p-Cumaric acid (mg/L)</t>
  </si>
  <si>
    <t>1 kDa, 1bar, 25 ºC</t>
  </si>
  <si>
    <t>n=0</t>
  </si>
  <si>
    <t>t(s)</t>
  </si>
  <si>
    <t>t(min)</t>
  </si>
  <si>
    <t>t(h)</t>
  </si>
  <si>
    <t>Vp (L)</t>
  </si>
  <si>
    <t>J (L/h*m^2)</t>
  </si>
  <si>
    <t>rt (m-1</t>
  </si>
  <si>
    <t>r m (m-1)</t>
  </si>
  <si>
    <t>rf (m-1)</t>
  </si>
  <si>
    <t>rf/rT (%)</t>
  </si>
  <si>
    <t>rf (+10^13 m-1)</t>
  </si>
  <si>
    <t>t (s)</t>
  </si>
  <si>
    <t>ln (J-J*)</t>
  </si>
  <si>
    <t>1/J^0.5</t>
  </si>
  <si>
    <t>LN(J/J-J*)-J*/J</t>
  </si>
  <si>
    <t>n=2</t>
  </si>
  <si>
    <t>n=1,5</t>
  </si>
  <si>
    <t>r2</t>
  </si>
  <si>
    <t xml:space="preserve">J0 </t>
  </si>
  <si>
    <t xml:space="preserve">J* </t>
  </si>
  <si>
    <t>k</t>
  </si>
  <si>
    <t>10 kDa, 1bar, 25 ºC</t>
  </si>
  <si>
    <t>t (min)</t>
  </si>
  <si>
    <t>t (h)</t>
  </si>
  <si>
    <t>rt (m-1)</t>
  </si>
  <si>
    <t>rf (10^13 m-1)</t>
  </si>
  <si>
    <t>R2</t>
  </si>
  <si>
    <t>J0</t>
  </si>
  <si>
    <t>J*</t>
  </si>
  <si>
    <t>50 kDa, 1bar, 25 ºC</t>
  </si>
  <si>
    <t>100 kDa, 1bar, 25 ºC</t>
  </si>
  <si>
    <t>rf/rt (%)</t>
  </si>
  <si>
    <t>rf (+10^13m-1)</t>
  </si>
  <si>
    <t>t  (s)</t>
  </si>
  <si>
    <t>Retentate</t>
  </si>
  <si>
    <t>b</t>
  </si>
  <si>
    <t>a (slope)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</si>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</sst>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0.0000"/>
    <numFmt numFmtId="167" formatCode="0.000E+00"/>
    <numFmt numFmtId="168" formatCode="0.00000"/>
    <numFmt numFmtId="169" formatCode="0.00000E+00"/>
    <numFmt numFmtId="170" formatCode="0.0E+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Arial"/>
      <family val="2"/>
    </font>
    <font>
      <sz val="12"/>
      <color theme="4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0" tint="-0.1499984740745262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Abad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/>
    <xf numFmtId="2" fontId="0" fillId="0" borderId="1" xfId="0" applyNumberFormat="1" applyBorder="1" applyAlignment="1">
      <alignment horizontal="center"/>
    </xf>
    <xf numFmtId="0" fontId="5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 wrapText="1"/>
    </xf>
    <xf numFmtId="2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justify" vertical="center" wrapText="1"/>
    </xf>
    <xf numFmtId="0" fontId="12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2" fontId="4" fillId="0" borderId="0" xfId="0" applyNumberFormat="1" applyFont="1"/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2" fontId="1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1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11" fontId="1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1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167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center"/>
    </xf>
    <xf numFmtId="166" fontId="13" fillId="0" borderId="0" xfId="0" applyNumberFormat="1" applyFont="1"/>
    <xf numFmtId="0" fontId="14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 applyAlignment="1">
      <alignment horizontal="center"/>
    </xf>
    <xf numFmtId="11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1" fontId="0" fillId="0" borderId="0" xfId="0" applyNumberFormat="1"/>
    <xf numFmtId="170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11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4" fontId="15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/>
    </xf>
    <xf numFmtId="168" fontId="1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2" fontId="14" fillId="0" borderId="0" xfId="0" applyNumberFormat="1" applyFont="1" applyAlignment="1">
      <alignment horizontal="center" vertical="center"/>
    </xf>
    <xf numFmtId="168" fontId="14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16" fillId="0" borderId="0" xfId="0" applyFont="1"/>
    <xf numFmtId="2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6" fontId="14" fillId="0" borderId="0" xfId="0" applyNumberFormat="1" applyFont="1"/>
    <xf numFmtId="2" fontId="0" fillId="0" borderId="0" xfId="0" applyNumberFormat="1"/>
    <xf numFmtId="14" fontId="17" fillId="0" borderId="2" xfId="0" applyNumberFormat="1" applyFont="1" applyBorder="1" applyAlignment="1">
      <alignment horizontal="left"/>
    </xf>
    <xf numFmtId="14" fontId="17" fillId="0" borderId="0" xfId="0" applyNumberFormat="1" applyFont="1" applyAlignment="1">
      <alignment horizontal="left"/>
    </xf>
    <xf numFmtId="168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65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2" fontId="0" fillId="3" borderId="0" xfId="0" applyNumberForma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0" borderId="0" xfId="0" applyFill="1"/>
    <xf numFmtId="0" fontId="9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C2FF"/>
      <color rgb="FF43AEFF"/>
      <color rgb="FFFFFF00"/>
      <color rgb="FFFFFF99"/>
      <color rgb="FFBDE3FF"/>
      <color rgb="FF00FF00"/>
      <color rgb="FFFF8585"/>
      <color rgb="FFDC42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1227434995062"/>
          <c:y val="4.9019851899955807E-2"/>
          <c:w val="0.83159193525246644"/>
          <c:h val="0.814459317585301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'Ri, α '!$D$1</c:f>
              <c:strCache>
                <c:ptCount val="1"/>
                <c:pt idx="0">
                  <c:v>1 kDa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'!$K$4:$K$12</c:f>
                <c:numCache>
                  <c:formatCode>General</c:formatCode>
                  <c:ptCount val="9"/>
                  <c:pt idx="0">
                    <c:v>0.18293000000000001</c:v>
                  </c:pt>
                  <c:pt idx="1">
                    <c:v>0.12784000000000001</c:v>
                  </c:pt>
                  <c:pt idx="2">
                    <c:v>7.1590000000000001E-2</c:v>
                  </c:pt>
                  <c:pt idx="3">
                    <c:v>0.12811</c:v>
                  </c:pt>
                  <c:pt idx="4">
                    <c:v>0.17799000000000001</c:v>
                  </c:pt>
                  <c:pt idx="5">
                    <c:v>0.12198000000000001</c:v>
                  </c:pt>
                  <c:pt idx="6">
                    <c:v>0.19622999999999999</c:v>
                  </c:pt>
                </c:numCache>
              </c:numRef>
            </c:plus>
            <c:minus>
              <c:numRef>
                <c:f>'Ri, α '!$K$4:$K$12</c:f>
                <c:numCache>
                  <c:formatCode>General</c:formatCode>
                  <c:ptCount val="9"/>
                  <c:pt idx="0">
                    <c:v>0.18293000000000001</c:v>
                  </c:pt>
                  <c:pt idx="1">
                    <c:v>0.12784000000000001</c:v>
                  </c:pt>
                  <c:pt idx="2">
                    <c:v>7.1590000000000001E-2</c:v>
                  </c:pt>
                  <c:pt idx="3">
                    <c:v>0.12811</c:v>
                  </c:pt>
                  <c:pt idx="4">
                    <c:v>0.17799000000000001</c:v>
                  </c:pt>
                  <c:pt idx="5">
                    <c:v>0.12198000000000001</c:v>
                  </c:pt>
                  <c:pt idx="6">
                    <c:v>0.19622999999999999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'!$A$19:$A$27</c:f>
              <c:strCache>
                <c:ptCount val="7"/>
                <c:pt idx="0">
                  <c:v>GA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FA</c:v>
                </c:pt>
                <c:pt idx="6">
                  <c:v>AcA</c:v>
                </c:pt>
              </c:strCache>
            </c:strRef>
          </c:cat>
          <c:val>
            <c:numRef>
              <c:f>'Ri, α '!$J$4:$J$10</c:f>
              <c:numCache>
                <c:formatCode>0.00</c:formatCode>
                <c:ptCount val="7"/>
                <c:pt idx="0">
                  <c:v>5.6389275552051696</c:v>
                </c:pt>
                <c:pt idx="1">
                  <c:v>5.7183071033689892</c:v>
                </c:pt>
                <c:pt idx="2">
                  <c:v>5.6873068561952849</c:v>
                </c:pt>
                <c:pt idx="3">
                  <c:v>5.7250557405889069</c:v>
                </c:pt>
                <c:pt idx="4">
                  <c:v>5.6760249851479667</c:v>
                </c:pt>
                <c:pt idx="5">
                  <c:v>5.6021236532880598</c:v>
                </c:pt>
                <c:pt idx="6">
                  <c:v>5.7250796747215844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6006-4573-9BAF-AE728B97C854}"/>
            </c:ext>
          </c:extLst>
        </c:ser>
        <c:ser>
          <c:idx val="0"/>
          <c:order val="1"/>
          <c:tx>
            <c:strRef>
              <c:f>'Ri, α '!$M$1</c:f>
              <c:strCache>
                <c:ptCount val="1"/>
                <c:pt idx="0">
                  <c:v>10 kDa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'!$T$4:$T$10</c:f>
                <c:numCache>
                  <c:formatCode>General</c:formatCode>
                  <c:ptCount val="7"/>
                  <c:pt idx="0">
                    <c:v>0.19045999999999999</c:v>
                  </c:pt>
                  <c:pt idx="1">
                    <c:v>0.12171</c:v>
                  </c:pt>
                  <c:pt idx="2">
                    <c:v>0.21881999999999999</c:v>
                  </c:pt>
                  <c:pt idx="3">
                    <c:v>0.11867</c:v>
                  </c:pt>
                  <c:pt idx="4">
                    <c:v>0.15601999999999999</c:v>
                  </c:pt>
                  <c:pt idx="5">
                    <c:v>6.2449999999999999E-2</c:v>
                  </c:pt>
                  <c:pt idx="6">
                    <c:v>0.19614999999999999</c:v>
                  </c:pt>
                </c:numCache>
              </c:numRef>
            </c:plus>
            <c:minus>
              <c:numRef>
                <c:f>'Ri, α '!$T$4:$T$10</c:f>
                <c:numCache>
                  <c:formatCode>General</c:formatCode>
                  <c:ptCount val="7"/>
                  <c:pt idx="0">
                    <c:v>0.19045999999999999</c:v>
                  </c:pt>
                  <c:pt idx="1">
                    <c:v>0.12171</c:v>
                  </c:pt>
                  <c:pt idx="2">
                    <c:v>0.21881999999999999</c:v>
                  </c:pt>
                  <c:pt idx="3">
                    <c:v>0.11867</c:v>
                  </c:pt>
                  <c:pt idx="4">
                    <c:v>0.15601999999999999</c:v>
                  </c:pt>
                  <c:pt idx="5">
                    <c:v>6.2449999999999999E-2</c:v>
                  </c:pt>
                  <c:pt idx="6">
                    <c:v>0.19614999999999999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'!$A$19:$A$27</c:f>
              <c:strCache>
                <c:ptCount val="7"/>
                <c:pt idx="0">
                  <c:v>GA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FA</c:v>
                </c:pt>
                <c:pt idx="6">
                  <c:v>AcA</c:v>
                </c:pt>
              </c:strCache>
            </c:strRef>
          </c:cat>
          <c:val>
            <c:numRef>
              <c:f>'Ri, α '!$S$4:$S$10</c:f>
              <c:numCache>
                <c:formatCode>0.00</c:formatCode>
                <c:ptCount val="7"/>
                <c:pt idx="0">
                  <c:v>3.2530408265791086</c:v>
                </c:pt>
                <c:pt idx="1">
                  <c:v>3.2074465059351178</c:v>
                </c:pt>
                <c:pt idx="2">
                  <c:v>3.2691233289535258</c:v>
                </c:pt>
                <c:pt idx="3">
                  <c:v>3.2449307220928501</c:v>
                </c:pt>
                <c:pt idx="4">
                  <c:v>3.2755601470470515</c:v>
                </c:pt>
                <c:pt idx="5">
                  <c:v>3.2194503214222063</c:v>
                </c:pt>
                <c:pt idx="6">
                  <c:v>3.2356135847899998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006-4573-9BAF-AE728B97C854}"/>
            </c:ext>
          </c:extLst>
        </c:ser>
        <c:ser>
          <c:idx val="2"/>
          <c:order val="2"/>
          <c:tx>
            <c:strRef>
              <c:f>'Ri, α '!$D$16</c:f>
              <c:strCache>
                <c:ptCount val="1"/>
                <c:pt idx="0">
                  <c:v>50 kDa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'!$K$19:$K$27</c:f>
                <c:numCache>
                  <c:formatCode>General</c:formatCode>
                  <c:ptCount val="9"/>
                  <c:pt idx="0">
                    <c:v>9.5332E-2</c:v>
                  </c:pt>
                  <c:pt idx="1">
                    <c:v>8.4440000000000001E-2</c:v>
                  </c:pt>
                  <c:pt idx="2">
                    <c:v>6.4610000000000001E-2</c:v>
                  </c:pt>
                  <c:pt idx="3">
                    <c:v>9.2310000000000003E-2</c:v>
                  </c:pt>
                  <c:pt idx="4">
                    <c:v>5.083E-2</c:v>
                  </c:pt>
                  <c:pt idx="5">
                    <c:v>8.9880000000000002E-2</c:v>
                  </c:pt>
                  <c:pt idx="6">
                    <c:v>8.5629999999999998E-2</c:v>
                  </c:pt>
                </c:numCache>
              </c:numRef>
            </c:plus>
            <c:minus>
              <c:numRef>
                <c:f>'Ri, α '!$K$19:$K$27</c:f>
                <c:numCache>
                  <c:formatCode>General</c:formatCode>
                  <c:ptCount val="9"/>
                  <c:pt idx="0">
                    <c:v>9.5332E-2</c:v>
                  </c:pt>
                  <c:pt idx="1">
                    <c:v>8.4440000000000001E-2</c:v>
                  </c:pt>
                  <c:pt idx="2">
                    <c:v>6.4610000000000001E-2</c:v>
                  </c:pt>
                  <c:pt idx="3">
                    <c:v>9.2310000000000003E-2</c:v>
                  </c:pt>
                  <c:pt idx="4">
                    <c:v>5.083E-2</c:v>
                  </c:pt>
                  <c:pt idx="5">
                    <c:v>8.9880000000000002E-2</c:v>
                  </c:pt>
                  <c:pt idx="6">
                    <c:v>8.5629999999999998E-2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'!$A$19:$A$27</c:f>
              <c:strCache>
                <c:ptCount val="7"/>
                <c:pt idx="0">
                  <c:v>GA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FA</c:v>
                </c:pt>
                <c:pt idx="6">
                  <c:v>AcA</c:v>
                </c:pt>
              </c:strCache>
            </c:strRef>
          </c:cat>
          <c:val>
            <c:numRef>
              <c:f>'Ri, α '!$J$19:$J$25</c:f>
              <c:numCache>
                <c:formatCode>0.00</c:formatCode>
                <c:ptCount val="7"/>
                <c:pt idx="0">
                  <c:v>2.1907917248329967</c:v>
                </c:pt>
                <c:pt idx="1">
                  <c:v>2.1859580824877352</c:v>
                </c:pt>
                <c:pt idx="2">
                  <c:v>2.2174287940476596</c:v>
                </c:pt>
                <c:pt idx="3">
                  <c:v>2.2158273693588701</c:v>
                </c:pt>
                <c:pt idx="4">
                  <c:v>2.2177573344706714</c:v>
                </c:pt>
                <c:pt idx="5">
                  <c:v>2.1999807628034844</c:v>
                </c:pt>
                <c:pt idx="6">
                  <c:v>2.2057096174914177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006-4573-9BAF-AE728B97C854}"/>
            </c:ext>
          </c:extLst>
        </c:ser>
        <c:ser>
          <c:idx val="3"/>
          <c:order val="3"/>
          <c:tx>
            <c:strRef>
              <c:f>'Ri, α '!$M$16</c:f>
              <c:strCache>
                <c:ptCount val="1"/>
                <c:pt idx="0">
                  <c:v>100 kDa</c:v>
                </c:pt>
              </c:strCache>
            </c:strRef>
          </c:tx>
          <c:spPr>
            <a:solidFill>
              <a:srgbClr val="71C2FF"/>
            </a:solidFill>
            <a:ln>
              <a:solidFill>
                <a:srgbClr val="0070C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'!$T$19:$T$25</c:f>
                <c:numCache>
                  <c:formatCode>General</c:formatCode>
                  <c:ptCount val="7"/>
                  <c:pt idx="0">
                    <c:v>0.1</c:v>
                  </c:pt>
                  <c:pt idx="1">
                    <c:v>0.13617000000000001</c:v>
                  </c:pt>
                  <c:pt idx="2">
                    <c:v>7.5289999999999996E-2</c:v>
                  </c:pt>
                  <c:pt idx="3">
                    <c:v>0.1</c:v>
                  </c:pt>
                  <c:pt idx="4">
                    <c:v>8.6459999999999995E-2</c:v>
                  </c:pt>
                  <c:pt idx="5">
                    <c:v>8.0409999999999995E-2</c:v>
                  </c:pt>
                  <c:pt idx="6">
                    <c:v>0.10020999999999999</c:v>
                  </c:pt>
                </c:numCache>
              </c:numRef>
            </c:plus>
            <c:minus>
              <c:numRef>
                <c:f>'Ri, α '!$T$19:$T$25</c:f>
                <c:numCache>
                  <c:formatCode>General</c:formatCode>
                  <c:ptCount val="7"/>
                  <c:pt idx="0">
                    <c:v>0.1</c:v>
                  </c:pt>
                  <c:pt idx="1">
                    <c:v>0.13617000000000001</c:v>
                  </c:pt>
                  <c:pt idx="2">
                    <c:v>7.5289999999999996E-2</c:v>
                  </c:pt>
                  <c:pt idx="3">
                    <c:v>0.1</c:v>
                  </c:pt>
                  <c:pt idx="4">
                    <c:v>8.6459999999999995E-2</c:v>
                  </c:pt>
                  <c:pt idx="5">
                    <c:v>8.0409999999999995E-2</c:v>
                  </c:pt>
                  <c:pt idx="6">
                    <c:v>0.10020999999999999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'!$A$19:$A$27</c:f>
              <c:strCache>
                <c:ptCount val="7"/>
                <c:pt idx="0">
                  <c:v>GA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FA</c:v>
                </c:pt>
                <c:pt idx="6">
                  <c:v>AcA</c:v>
                </c:pt>
              </c:strCache>
            </c:strRef>
          </c:cat>
          <c:val>
            <c:numRef>
              <c:f>'Ri, α '!$S$19:$S$25</c:f>
              <c:numCache>
                <c:formatCode>0.00</c:formatCode>
                <c:ptCount val="7"/>
                <c:pt idx="0">
                  <c:v>2.0676422923996616</c:v>
                </c:pt>
                <c:pt idx="1">
                  <c:v>2.0483488745373908</c:v>
                </c:pt>
                <c:pt idx="2">
                  <c:v>2.0541376098055975</c:v>
                </c:pt>
                <c:pt idx="3">
                  <c:v>2.0519581788760073</c:v>
                </c:pt>
                <c:pt idx="4">
                  <c:v>2.069914698250475</c:v>
                </c:pt>
                <c:pt idx="5">
                  <c:v>2.0635930898856047</c:v>
                </c:pt>
                <c:pt idx="6">
                  <c:v>2.0685112795040781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006-4573-9BAF-AE728B97C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42"/>
        <c:axId val="394926336"/>
        <c:axId val="394919680"/>
      </c:barChart>
      <c:catAx>
        <c:axId val="394926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Compounds</a:t>
                </a:r>
              </a:p>
            </c:rich>
          </c:tx>
          <c:layout>
            <c:manualLayout>
              <c:xMode val="edge"/>
              <c:yMode val="edge"/>
              <c:x val="0.44885333482250889"/>
              <c:y val="0.94258373205741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94919680"/>
        <c:crosses val="autoZero"/>
        <c:auto val="1"/>
        <c:lblAlgn val="ctr"/>
        <c:lblOffset val="100"/>
        <c:noMultiLvlLbl val="0"/>
      </c:catAx>
      <c:valAx>
        <c:axId val="394919680"/>
        <c:scaling>
          <c:orientation val="minMax"/>
          <c:max val="7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>
                    <a:solidFill>
                      <a:schemeClr val="tx1"/>
                    </a:solidFill>
                    <a:latin typeface="Cambria Math" panose="02040503050406030204" pitchFamily="18" charset="0"/>
                    <a:ea typeface="Cambria Math" panose="02040503050406030204" pitchFamily="18" charset="0"/>
                  </a:rPr>
                  <a:t>α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1041851279844043E-4"/>
              <c:y val="0.390227315335583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94926336"/>
        <c:crosses val="autoZero"/>
        <c:crossBetween val="between"/>
        <c:majorUnit val="1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845513229765198"/>
          <c:y val="7.4578061643223392E-2"/>
          <c:w val="0.65587607292331696"/>
          <c:h val="5.3837790400039012E-2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67313973213155"/>
          <c:y val="5.6155480564929382E-2"/>
          <c:w val="0.7060181785958427"/>
          <c:h val="0.73497669934115384"/>
        </c:manualLayout>
      </c:layout>
      <c:scatterChart>
        <c:scatterStyle val="lineMarker"/>
        <c:varyColors val="0"/>
        <c:ser>
          <c:idx val="4"/>
          <c:order val="0"/>
          <c:tx>
            <c:v>1 kDa</c:v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'1 kDa'!$K$4:$K$10</c:f>
              <c:numCache>
                <c:formatCode>0.00</c:formatCode>
                <c:ptCount val="7"/>
                <c:pt idx="0">
                  <c:v>600</c:v>
                </c:pt>
                <c:pt idx="1">
                  <c:v>1200</c:v>
                </c:pt>
                <c:pt idx="2">
                  <c:v>2400</c:v>
                </c:pt>
                <c:pt idx="3">
                  <c:v>3600</c:v>
                </c:pt>
                <c:pt idx="4">
                  <c:v>4800</c:v>
                </c:pt>
                <c:pt idx="5">
                  <c:v>6000</c:v>
                </c:pt>
                <c:pt idx="6">
                  <c:v>7200</c:v>
                </c:pt>
              </c:numCache>
            </c:numRef>
          </c:xVal>
          <c:yVal>
            <c:numRef>
              <c:f>'1 kDa'!$J$4:$J$10</c:f>
              <c:numCache>
                <c:formatCode>0.0</c:formatCode>
                <c:ptCount val="7"/>
                <c:pt idx="0">
                  <c:v>10.007092661296589</c:v>
                </c:pt>
                <c:pt idx="1">
                  <c:v>15.086192130716791</c:v>
                </c:pt>
                <c:pt idx="2">
                  <c:v>19.604384567853259</c:v>
                </c:pt>
                <c:pt idx="3">
                  <c:v>25.354972675824932</c:v>
                </c:pt>
                <c:pt idx="4">
                  <c:v>27.388689117756492</c:v>
                </c:pt>
                <c:pt idx="5">
                  <c:v>29.151415806798106</c:v>
                </c:pt>
                <c:pt idx="6">
                  <c:v>30.876939281652657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5-4560-9407-5A783D2BD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251567"/>
        <c:axId val="373248655"/>
      </c:scatterChart>
      <c:valAx>
        <c:axId val="373251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(s)</a:t>
                </a:r>
              </a:p>
            </c:rich>
          </c:tx>
          <c:layout>
            <c:manualLayout>
              <c:xMode val="edge"/>
              <c:yMode val="edge"/>
              <c:x val="0.4746992081758114"/>
              <c:y val="0.89814814814814814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48655"/>
        <c:crosses val="autoZero"/>
        <c:crossBetween val="midCat"/>
        <c:majorUnit val="2000"/>
      </c:valAx>
      <c:valAx>
        <c:axId val="3732486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en-US" sz="12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 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  <a:sym typeface="Symbol" panose="05050102010706020507" pitchFamily="18" charset="2"/>
                  </a:rPr>
                  <a:t>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10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13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m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608657631688103E-2"/>
              <c:y val="0.243291411490230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51567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3902726789376403"/>
          <c:y val="7.1183959147963646E-2"/>
          <c:w val="0.20555282679697193"/>
          <c:h val="0.14879818594104308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62113019005154"/>
          <c:y val="4.1612329362043163E-2"/>
          <c:w val="0.81065833437486978"/>
          <c:h val="0.8159235744602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'Ri, α '!$D$1</c:f>
              <c:strCache>
                <c:ptCount val="1"/>
                <c:pt idx="0">
                  <c:v>1 kDa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'!$G$3:$G$10</c:f>
                <c:numCache>
                  <c:formatCode>General</c:formatCode>
                  <c:ptCount val="8"/>
                  <c:pt idx="0">
                    <c:v>1.3</c:v>
                  </c:pt>
                  <c:pt idx="1">
                    <c:v>1.5289999999999999</c:v>
                  </c:pt>
                  <c:pt idx="2">
                    <c:v>0.68611</c:v>
                  </c:pt>
                  <c:pt idx="3">
                    <c:v>1.2298800000000001</c:v>
                  </c:pt>
                  <c:pt idx="4">
                    <c:v>0.68689</c:v>
                  </c:pt>
                  <c:pt idx="5">
                    <c:v>0.184224</c:v>
                  </c:pt>
                  <c:pt idx="6">
                    <c:v>1.18638</c:v>
                  </c:pt>
                  <c:pt idx="7">
                    <c:v>0.71004900000000004</c:v>
                  </c:pt>
                </c:numCache>
              </c:numRef>
            </c:plus>
            <c:minus>
              <c:numRef>
                <c:f>'Ri, α '!$G$3:$G$10</c:f>
                <c:numCache>
                  <c:formatCode>General</c:formatCode>
                  <c:ptCount val="8"/>
                  <c:pt idx="0">
                    <c:v>1.3</c:v>
                  </c:pt>
                  <c:pt idx="1">
                    <c:v>1.5289999999999999</c:v>
                  </c:pt>
                  <c:pt idx="2">
                    <c:v>0.68611</c:v>
                  </c:pt>
                  <c:pt idx="3">
                    <c:v>1.2298800000000001</c:v>
                  </c:pt>
                  <c:pt idx="4">
                    <c:v>0.68689</c:v>
                  </c:pt>
                  <c:pt idx="5">
                    <c:v>0.184224</c:v>
                  </c:pt>
                  <c:pt idx="6">
                    <c:v>1.18638</c:v>
                  </c:pt>
                  <c:pt idx="7">
                    <c:v>0.71004900000000004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'!$A$18:$A$25</c:f>
              <c:strCache>
                <c:ptCount val="8"/>
                <c:pt idx="0">
                  <c:v>POS</c:v>
                </c:pt>
                <c:pt idx="1">
                  <c:v>GA</c:v>
                </c:pt>
                <c:pt idx="2">
                  <c:v>gal</c:v>
                </c:pt>
                <c:pt idx="3">
                  <c:v>glu</c:v>
                </c:pt>
                <c:pt idx="4">
                  <c:v>xyl</c:v>
                </c:pt>
                <c:pt idx="5">
                  <c:v>ara</c:v>
                </c:pt>
                <c:pt idx="6">
                  <c:v>FA</c:v>
                </c:pt>
                <c:pt idx="7">
                  <c:v>AcA</c:v>
                </c:pt>
              </c:strCache>
            </c:strRef>
          </c:cat>
          <c:val>
            <c:numRef>
              <c:f>'Ri, α '!$F$3:$F$10</c:f>
              <c:numCache>
                <c:formatCode>0.00</c:formatCode>
                <c:ptCount val="8"/>
                <c:pt idx="0">
                  <c:v>82.389664464414096</c:v>
                </c:pt>
                <c:pt idx="1">
                  <c:v>2.6841023210678938</c:v>
                </c:pt>
                <c:pt idx="2">
                  <c:v>1.3479665332884694</c:v>
                </c:pt>
                <c:pt idx="3">
                  <c:v>1.8696613109971505</c:v>
                </c:pt>
                <c:pt idx="4">
                  <c:v>1.234414032263309</c:v>
                </c:pt>
                <c:pt idx="5">
                  <c:v>2.0595554979731645</c:v>
                </c:pt>
                <c:pt idx="6">
                  <c:v>3.3039050975100848</c:v>
                </c:pt>
                <c:pt idx="7">
                  <c:v>1.2340113285539966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9D-49A2-AB74-266031EF7FB1}"/>
            </c:ext>
          </c:extLst>
        </c:ser>
        <c:ser>
          <c:idx val="0"/>
          <c:order val="1"/>
          <c:tx>
            <c:strRef>
              <c:f>'Ri, α '!$M$1</c:f>
              <c:strCache>
                <c:ptCount val="1"/>
                <c:pt idx="0">
                  <c:v>10 kDa</c:v>
                </c:pt>
              </c:strCache>
            </c:strRef>
          </c:tx>
          <c:spPr>
            <a:solidFill>
              <a:schemeClr val="bg1">
                <a:lumMod val="75000"/>
                <a:alpha val="7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'!$P$3:$P$10</c:f>
                <c:numCache>
                  <c:formatCode>General</c:formatCode>
                  <c:ptCount val="8"/>
                  <c:pt idx="0">
                    <c:v>1.30017</c:v>
                  </c:pt>
                  <c:pt idx="1">
                    <c:v>0.99583999999999995</c:v>
                  </c:pt>
                  <c:pt idx="2">
                    <c:v>1.51973</c:v>
                  </c:pt>
                  <c:pt idx="3">
                    <c:v>1.96295</c:v>
                  </c:pt>
                  <c:pt idx="4">
                    <c:v>1.04535</c:v>
                  </c:pt>
                  <c:pt idx="5">
                    <c:v>0.50000999999999995</c:v>
                  </c:pt>
                  <c:pt idx="6">
                    <c:v>0.60214000000000001</c:v>
                  </c:pt>
                  <c:pt idx="7">
                    <c:v>1.2060299999999999</c:v>
                  </c:pt>
                </c:numCache>
              </c:numRef>
            </c:plus>
            <c:minus>
              <c:numRef>
                <c:f>'Ri, α '!$P$3:$P$10</c:f>
                <c:numCache>
                  <c:formatCode>General</c:formatCode>
                  <c:ptCount val="8"/>
                  <c:pt idx="0">
                    <c:v>1.30017</c:v>
                  </c:pt>
                  <c:pt idx="1">
                    <c:v>0.99583999999999995</c:v>
                  </c:pt>
                  <c:pt idx="2">
                    <c:v>1.51973</c:v>
                  </c:pt>
                  <c:pt idx="3">
                    <c:v>1.96295</c:v>
                  </c:pt>
                  <c:pt idx="4">
                    <c:v>1.04535</c:v>
                  </c:pt>
                  <c:pt idx="5">
                    <c:v>0.50000999999999995</c:v>
                  </c:pt>
                  <c:pt idx="6">
                    <c:v>0.60214000000000001</c:v>
                  </c:pt>
                  <c:pt idx="7">
                    <c:v>1.2060299999999999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'!$A$18:$A$25</c:f>
              <c:strCache>
                <c:ptCount val="8"/>
                <c:pt idx="0">
                  <c:v>POS</c:v>
                </c:pt>
                <c:pt idx="1">
                  <c:v>GA</c:v>
                </c:pt>
                <c:pt idx="2">
                  <c:v>gal</c:v>
                </c:pt>
                <c:pt idx="3">
                  <c:v>glu</c:v>
                </c:pt>
                <c:pt idx="4">
                  <c:v>xyl</c:v>
                </c:pt>
                <c:pt idx="5">
                  <c:v>ara</c:v>
                </c:pt>
                <c:pt idx="6">
                  <c:v>FA</c:v>
                </c:pt>
                <c:pt idx="7">
                  <c:v>AcA</c:v>
                </c:pt>
              </c:strCache>
            </c:strRef>
          </c:cat>
          <c:val>
            <c:numRef>
              <c:f>'Ri, α '!$O$3:$O$10</c:f>
              <c:numCache>
                <c:formatCode>0.00</c:formatCode>
                <c:ptCount val="8"/>
                <c:pt idx="0">
                  <c:v>69.055255077197302</c:v>
                </c:pt>
                <c:pt idx="1">
                  <c:v>1.0600000000000054</c:v>
                </c:pt>
                <c:pt idx="2">
                  <c:v>2.4129020934383627</c:v>
                </c:pt>
                <c:pt idx="3">
                  <c:v>0.58301409006774607</c:v>
                </c:pt>
                <c:pt idx="4">
                  <c:v>1.3005793031259816</c:v>
                </c:pt>
                <c:pt idx="5">
                  <c:v>0.39213919796560193</c:v>
                </c:pt>
                <c:pt idx="6">
                  <c:v>2.0566266670914435</c:v>
                </c:pt>
                <c:pt idx="7">
                  <c:v>1.5770008297287363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9D-49A2-AB74-266031EF7FB1}"/>
            </c:ext>
          </c:extLst>
        </c:ser>
        <c:ser>
          <c:idx val="2"/>
          <c:order val="2"/>
          <c:tx>
            <c:strRef>
              <c:f>'Ri, α '!$D$16</c:f>
              <c:strCache>
                <c:ptCount val="1"/>
                <c:pt idx="0">
                  <c:v>50 kDa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'!$G$18:$G$25</c:f>
                <c:numCache>
                  <c:formatCode>General</c:formatCode>
                  <c:ptCount val="8"/>
                  <c:pt idx="0">
                    <c:v>1.8000100000000001</c:v>
                  </c:pt>
                  <c:pt idx="1">
                    <c:v>1.0000100000000001</c:v>
                  </c:pt>
                  <c:pt idx="2">
                    <c:v>1.6028100000000001</c:v>
                  </c:pt>
                  <c:pt idx="3">
                    <c:v>1.55762</c:v>
                  </c:pt>
                  <c:pt idx="4">
                    <c:v>1.0699099999999999</c:v>
                  </c:pt>
                  <c:pt idx="5">
                    <c:v>0.90283400000000003</c:v>
                  </c:pt>
                  <c:pt idx="6">
                    <c:v>0.90564599999999995</c:v>
                  </c:pt>
                  <c:pt idx="7">
                    <c:v>1.176472</c:v>
                  </c:pt>
                </c:numCache>
              </c:numRef>
            </c:plus>
            <c:minus>
              <c:numRef>
                <c:f>'Ri, α '!$G$18:$G$25</c:f>
                <c:numCache>
                  <c:formatCode>General</c:formatCode>
                  <c:ptCount val="8"/>
                  <c:pt idx="0">
                    <c:v>1.8000100000000001</c:v>
                  </c:pt>
                  <c:pt idx="1">
                    <c:v>1.0000100000000001</c:v>
                  </c:pt>
                  <c:pt idx="2">
                    <c:v>1.6028100000000001</c:v>
                  </c:pt>
                  <c:pt idx="3">
                    <c:v>1.55762</c:v>
                  </c:pt>
                  <c:pt idx="4">
                    <c:v>1.0699099999999999</c:v>
                  </c:pt>
                  <c:pt idx="5">
                    <c:v>0.90283400000000003</c:v>
                  </c:pt>
                  <c:pt idx="6">
                    <c:v>0.90564599999999995</c:v>
                  </c:pt>
                  <c:pt idx="7">
                    <c:v>1.176472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'!$A$18:$A$25</c:f>
              <c:strCache>
                <c:ptCount val="8"/>
                <c:pt idx="0">
                  <c:v>POS</c:v>
                </c:pt>
                <c:pt idx="1">
                  <c:v>GA</c:v>
                </c:pt>
                <c:pt idx="2">
                  <c:v>gal</c:v>
                </c:pt>
                <c:pt idx="3">
                  <c:v>glu</c:v>
                </c:pt>
                <c:pt idx="4">
                  <c:v>xyl</c:v>
                </c:pt>
                <c:pt idx="5">
                  <c:v>ara</c:v>
                </c:pt>
                <c:pt idx="6">
                  <c:v>FA</c:v>
                </c:pt>
                <c:pt idx="7">
                  <c:v>AcA</c:v>
                </c:pt>
              </c:strCache>
            </c:strRef>
          </c:cat>
          <c:val>
            <c:numRef>
              <c:f>'Ri, α '!$F$18:$F$25</c:f>
              <c:numCache>
                <c:formatCode>0.00</c:formatCode>
                <c:ptCount val="8"/>
                <c:pt idx="0">
                  <c:v>54.785475170421009</c:v>
                </c:pt>
                <c:pt idx="1">
                  <c:v>2.2600000000000064</c:v>
                </c:pt>
                <c:pt idx="2">
                  <c:v>2.4703901390694227</c:v>
                </c:pt>
                <c:pt idx="3">
                  <c:v>1.1009961337452467</c:v>
                </c:pt>
                <c:pt idx="4">
                  <c:v>1.1706561725111864</c:v>
                </c:pt>
                <c:pt idx="5">
                  <c:v>1.0867053298957208</c:v>
                </c:pt>
                <c:pt idx="6">
                  <c:v>1.8600985385079039</c:v>
                </c:pt>
                <c:pt idx="7">
                  <c:v>1.6108236693778033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9D-49A2-AB74-266031EF7FB1}"/>
            </c:ext>
          </c:extLst>
        </c:ser>
        <c:ser>
          <c:idx val="3"/>
          <c:order val="3"/>
          <c:tx>
            <c:strRef>
              <c:f>'Ri, α '!$M$16</c:f>
              <c:strCache>
                <c:ptCount val="1"/>
                <c:pt idx="0">
                  <c:v>100 kDa</c:v>
                </c:pt>
              </c:strCache>
            </c:strRef>
          </c:tx>
          <c:spPr>
            <a:solidFill>
              <a:srgbClr val="71C2FF">
                <a:alpha val="50000"/>
              </a:srgbClr>
            </a:solidFill>
            <a:ln w="12700">
              <a:solidFill>
                <a:srgbClr val="43AEFF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'Ri, α '!$P$18:$P$25</c:f>
                <c:numCache>
                  <c:formatCode>General</c:formatCode>
                  <c:ptCount val="8"/>
                  <c:pt idx="0">
                    <c:v>1.2010400000000001</c:v>
                  </c:pt>
                  <c:pt idx="1">
                    <c:v>0.70694000000000001</c:v>
                  </c:pt>
                  <c:pt idx="2">
                    <c:v>1.1132</c:v>
                  </c:pt>
                  <c:pt idx="3">
                    <c:v>0.85221999999999998</c:v>
                  </c:pt>
                  <c:pt idx="4">
                    <c:v>1.36433</c:v>
                  </c:pt>
                  <c:pt idx="5">
                    <c:v>0.46600999999999998</c:v>
                  </c:pt>
                  <c:pt idx="6">
                    <c:v>0.81059000000000003</c:v>
                  </c:pt>
                  <c:pt idx="7">
                    <c:v>0.59679000000000004</c:v>
                  </c:pt>
                </c:numCache>
              </c:numRef>
            </c:plus>
            <c:minus>
              <c:numRef>
                <c:f>'Ri, α '!$P$18:$P$25</c:f>
                <c:numCache>
                  <c:formatCode>General</c:formatCode>
                  <c:ptCount val="8"/>
                  <c:pt idx="0">
                    <c:v>1.2010400000000001</c:v>
                  </c:pt>
                  <c:pt idx="1">
                    <c:v>0.70694000000000001</c:v>
                  </c:pt>
                  <c:pt idx="2">
                    <c:v>1.1132</c:v>
                  </c:pt>
                  <c:pt idx="3">
                    <c:v>0.85221999999999998</c:v>
                  </c:pt>
                  <c:pt idx="4">
                    <c:v>1.36433</c:v>
                  </c:pt>
                  <c:pt idx="5">
                    <c:v>0.46600999999999998</c:v>
                  </c:pt>
                  <c:pt idx="6">
                    <c:v>0.81059000000000003</c:v>
                  </c:pt>
                  <c:pt idx="7">
                    <c:v>0.59679000000000004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'Ri, α '!$A$18:$A$25</c:f>
              <c:strCache>
                <c:ptCount val="8"/>
                <c:pt idx="0">
                  <c:v>POS</c:v>
                </c:pt>
                <c:pt idx="1">
                  <c:v>GA</c:v>
                </c:pt>
                <c:pt idx="2">
                  <c:v>gal</c:v>
                </c:pt>
                <c:pt idx="3">
                  <c:v>glu</c:v>
                </c:pt>
                <c:pt idx="4">
                  <c:v>xyl</c:v>
                </c:pt>
                <c:pt idx="5">
                  <c:v>ara</c:v>
                </c:pt>
                <c:pt idx="6">
                  <c:v>FA</c:v>
                </c:pt>
                <c:pt idx="7">
                  <c:v>AcA</c:v>
                </c:pt>
              </c:strCache>
            </c:strRef>
          </c:cat>
          <c:val>
            <c:numRef>
              <c:f>'Ri, α '!$O$18:$O$25</c:f>
              <c:numCache>
                <c:formatCode>0.00</c:formatCode>
                <c:ptCount val="8"/>
                <c:pt idx="0">
                  <c:v>51.073187118990916</c:v>
                </c:pt>
                <c:pt idx="1">
                  <c:v>0.14092052853095227</c:v>
                </c:pt>
                <c:pt idx="2">
                  <c:v>1.049667152164846</c:v>
                </c:pt>
                <c:pt idx="3">
                  <c:v>0.77696526170113467</c:v>
                </c:pt>
                <c:pt idx="4">
                  <c:v>0.87963173404193018</c:v>
                </c:pt>
                <c:pt idx="5">
                  <c:v>3.3914944273116809E-2</c:v>
                </c:pt>
                <c:pt idx="6">
                  <c:v>0.33160845247440784</c:v>
                </c:pt>
                <c:pt idx="7">
                  <c:v>0.10000000000000009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9D-49A2-AB74-266031EF7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42"/>
        <c:axId val="394926336"/>
        <c:axId val="394919680"/>
      </c:barChart>
      <c:catAx>
        <c:axId val="394926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Compounds</a:t>
                </a:r>
              </a:p>
            </c:rich>
          </c:tx>
          <c:layout>
            <c:manualLayout>
              <c:xMode val="edge"/>
              <c:yMode val="edge"/>
              <c:x val="0.44885333482250889"/>
              <c:y val="0.94258373205741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94919680"/>
        <c:crosses val="autoZero"/>
        <c:auto val="1"/>
        <c:lblAlgn val="ctr"/>
        <c:lblOffset val="100"/>
        <c:noMultiLvlLbl val="0"/>
      </c:catAx>
      <c:valAx>
        <c:axId val="39491968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>
                    <a:solidFill>
                      <a:schemeClr val="tx1"/>
                    </a:solidFill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es-ES" baseline="-25000">
                    <a:solidFill>
                      <a:schemeClr val="tx1"/>
                    </a:solidFill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i</a:t>
                </a:r>
                <a:r>
                  <a:rPr lang="es-ES">
                    <a:solidFill>
                      <a:schemeClr val="tx1"/>
                    </a:solidFill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 (%)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5.1041851279844043E-4"/>
              <c:y val="0.390227315335583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94926336"/>
        <c:crosses val="autoZero"/>
        <c:crossBetween val="between"/>
        <c:majorUnit val="10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33671310316979602"/>
          <c:y val="6.8443704152365573E-2"/>
          <c:w val="0.60900969109630532"/>
          <c:h val="5.3205464701527691E-2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85296639900211"/>
          <c:y val="2.5391104186842952E-2"/>
          <c:w val="0.75085996180796"/>
          <c:h val="0.74718961269659456"/>
        </c:manualLayout>
      </c:layout>
      <c:scatterChart>
        <c:scatterStyle val="smoothMarker"/>
        <c:varyColors val="0"/>
        <c:ser>
          <c:idx val="3"/>
          <c:order val="0"/>
          <c:tx>
            <c:v>100 kDa</c:v>
          </c:tx>
          <c:spPr>
            <a:ln w="19050">
              <a:noFill/>
            </a:ln>
          </c:spPr>
          <c:marker>
            <c:symbol val="square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xVal>
            <c:numRef>
              <c:f>'100 kDa '!$K$4:$K$12</c:f>
              <c:numCache>
                <c:formatCode>General</c:formatCode>
                <c:ptCount val="9"/>
                <c:pt idx="0">
                  <c:v>900</c:v>
                </c:pt>
                <c:pt idx="1">
                  <c:v>1200</c:v>
                </c:pt>
                <c:pt idx="2">
                  <c:v>1800</c:v>
                </c:pt>
                <c:pt idx="3">
                  <c:v>2700</c:v>
                </c:pt>
                <c:pt idx="4">
                  <c:v>3600</c:v>
                </c:pt>
                <c:pt idx="5">
                  <c:v>4500</c:v>
                </c:pt>
                <c:pt idx="6">
                  <c:v>5400</c:v>
                </c:pt>
                <c:pt idx="7">
                  <c:v>6300</c:v>
                </c:pt>
                <c:pt idx="8">
                  <c:v>7200</c:v>
                </c:pt>
              </c:numCache>
            </c:numRef>
          </c:xVal>
          <c:yVal>
            <c:numRef>
              <c:f>'100 kDa '!$E$4:$E$12</c:f>
              <c:numCache>
                <c:formatCode>0.00</c:formatCode>
                <c:ptCount val="9"/>
                <c:pt idx="0">
                  <c:v>22.753636363636399</c:v>
                </c:pt>
                <c:pt idx="1">
                  <c:v>18.22</c:v>
                </c:pt>
                <c:pt idx="2">
                  <c:v>15.283636363636401</c:v>
                </c:pt>
                <c:pt idx="3">
                  <c:v>12.442727272727273</c:v>
                </c:pt>
                <c:pt idx="4">
                  <c:v>11.364545454545455</c:v>
                </c:pt>
                <c:pt idx="5">
                  <c:v>10.269090909090909</c:v>
                </c:pt>
                <c:pt idx="6">
                  <c:v>9.8490909090909078</c:v>
                </c:pt>
                <c:pt idx="7">
                  <c:v>9.089090909090908</c:v>
                </c:pt>
                <c:pt idx="8">
                  <c:v>8.9300000000000015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6D-4727-B0DF-1E68A9957309}"/>
            </c:ext>
          </c:extLst>
        </c:ser>
        <c:ser>
          <c:idx val="7"/>
          <c:order val="1"/>
          <c:tx>
            <c:strRef>
              <c:f>'100 kDa '!$O$2</c:f>
              <c:strCache>
                <c:ptCount val="1"/>
                <c:pt idx="0">
                  <c:v>n=0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'100 kDa '!$P$4:$P$12</c:f>
              <c:numCache>
                <c:formatCode>0.00</c:formatCode>
                <c:ptCount val="9"/>
                <c:pt idx="0">
                  <c:v>930.84121082253341</c:v>
                </c:pt>
                <c:pt idx="1">
                  <c:v>1288.8938728430562</c:v>
                </c:pt>
                <c:pt idx="2">
                  <c:v>1765.0935639949075</c:v>
                </c:pt>
                <c:pt idx="3">
                  <c:v>2740.2845418055967</c:v>
                </c:pt>
                <c:pt idx="4">
                  <c:v>3425.853722248306</c:v>
                </c:pt>
                <c:pt idx="5">
                  <c:v>4521.7620633119113</c:v>
                </c:pt>
                <c:pt idx="6">
                  <c:v>5124.8898193027671</c:v>
                </c:pt>
                <c:pt idx="7">
                  <c:v>6681.0208947566589</c:v>
                </c:pt>
                <c:pt idx="8">
                  <c:v>7121.3603109142659</c:v>
                </c:pt>
              </c:numCache>
            </c:numRef>
          </c:xVal>
          <c:yVal>
            <c:numRef>
              <c:f>'100 kDa '!$E$4:$E$12</c:f>
              <c:numCache>
                <c:formatCode>0.00</c:formatCode>
                <c:ptCount val="9"/>
                <c:pt idx="0">
                  <c:v>22.753636363636399</c:v>
                </c:pt>
                <c:pt idx="1">
                  <c:v>18.22</c:v>
                </c:pt>
                <c:pt idx="2">
                  <c:v>15.283636363636401</c:v>
                </c:pt>
                <c:pt idx="3">
                  <c:v>12.442727272727273</c:v>
                </c:pt>
                <c:pt idx="4">
                  <c:v>11.364545454545455</c:v>
                </c:pt>
                <c:pt idx="5">
                  <c:v>10.269090909090909</c:v>
                </c:pt>
                <c:pt idx="6">
                  <c:v>9.8490909090909078</c:v>
                </c:pt>
                <c:pt idx="7">
                  <c:v>9.089090909090908</c:v>
                </c:pt>
                <c:pt idx="8">
                  <c:v>8.9300000000000015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6D-4727-B0DF-1E68A9957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07887"/>
        <c:axId val="2084210383"/>
      </c:scatterChart>
      <c:valAx>
        <c:axId val="2084207887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t (s)</a:t>
                </a:r>
              </a:p>
            </c:rich>
          </c:tx>
          <c:layout>
            <c:manualLayout>
              <c:xMode val="edge"/>
              <c:yMode val="edge"/>
              <c:x val="0.52410623862329608"/>
              <c:y val="0.92690821120669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10383"/>
        <c:crosses val="autoZero"/>
        <c:crossBetween val="midCat"/>
      </c:valAx>
      <c:valAx>
        <c:axId val="2084210383"/>
        <c:scaling>
          <c:orientation val="minMax"/>
          <c:max val="2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J (L/h m2)</a:t>
                </a:r>
              </a:p>
            </c:rich>
          </c:tx>
          <c:layout>
            <c:manualLayout>
              <c:xMode val="edge"/>
              <c:yMode val="edge"/>
              <c:x val="4.3178426226133109E-4"/>
              <c:y val="0.344348533973360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07887"/>
        <c:crosses val="autoZero"/>
        <c:crossBetween val="midCat"/>
        <c:majorUnit val="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9607889607858422"/>
          <c:y val="0.11084817606355357"/>
          <c:w val="0.28096351825333882"/>
          <c:h val="0.17683462424777416"/>
        </c:manualLayout>
      </c:layout>
      <c:overlay val="0"/>
    </c:legend>
    <c:plotVisOnly val="1"/>
    <c:dispBlanksAs val="gap"/>
    <c:showDLblsOverMax val="0"/>
    <c:extLst/>
  </c:chart>
  <c:spPr>
    <a:ln w="12700">
      <a:noFill/>
    </a:ln>
  </c:spPr>
  <c:txPr>
    <a:bodyPr/>
    <a:lstStyle/>
    <a:p>
      <a:pPr>
        <a:defRPr sz="1200" b="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58136482939637"/>
          <c:y val="5.6155403972832092E-2"/>
          <c:w val="0.68101804461942261"/>
          <c:h val="0.7349766993411538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'100 kDa '!$K$4:$K$12</c:f>
              <c:numCache>
                <c:formatCode>General</c:formatCode>
                <c:ptCount val="9"/>
                <c:pt idx="0">
                  <c:v>900</c:v>
                </c:pt>
                <c:pt idx="1">
                  <c:v>1200</c:v>
                </c:pt>
                <c:pt idx="2">
                  <c:v>1800</c:v>
                </c:pt>
                <c:pt idx="3">
                  <c:v>2700</c:v>
                </c:pt>
                <c:pt idx="4">
                  <c:v>3600</c:v>
                </c:pt>
                <c:pt idx="5">
                  <c:v>4500</c:v>
                </c:pt>
                <c:pt idx="6">
                  <c:v>5400</c:v>
                </c:pt>
                <c:pt idx="7">
                  <c:v>6300</c:v>
                </c:pt>
                <c:pt idx="8">
                  <c:v>7200</c:v>
                </c:pt>
              </c:numCache>
            </c:numRef>
          </c:xVal>
          <c:yVal>
            <c:numRef>
              <c:f>'100 kDa '!$J$4:$J$12</c:f>
              <c:numCache>
                <c:formatCode>0.0</c:formatCode>
                <c:ptCount val="9"/>
                <c:pt idx="0">
                  <c:v>1.5160198656446566</c:v>
                </c:pt>
                <c:pt idx="1">
                  <c:v>1.9718154818622911</c:v>
                </c:pt>
                <c:pt idx="2">
                  <c:v>2.4113139998618651</c:v>
                </c:pt>
                <c:pt idx="3">
                  <c:v>3.0339549853863437</c:v>
                </c:pt>
                <c:pt idx="4">
                  <c:v>3.3517499402829816</c:v>
                </c:pt>
                <c:pt idx="5">
                  <c:v>3.7429806520858353</c:v>
                </c:pt>
                <c:pt idx="6">
                  <c:v>3.9160594189654487</c:v>
                </c:pt>
                <c:pt idx="7">
                  <c:v>4.2699097820168195</c:v>
                </c:pt>
                <c:pt idx="8">
                  <c:v>4.3516048999374162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96-4ADD-8AC5-83F573DCE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251567"/>
        <c:axId val="373248655"/>
      </c:scatterChart>
      <c:valAx>
        <c:axId val="373251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(s)</a:t>
                </a:r>
              </a:p>
            </c:rich>
          </c:tx>
          <c:layout>
            <c:manualLayout>
              <c:xMode val="edge"/>
              <c:yMode val="edge"/>
              <c:x val="0.4746992081758114"/>
              <c:y val="0.898148148148148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48655"/>
        <c:crosses val="autoZero"/>
        <c:crossBetween val="midCat"/>
        <c:majorUnit val="2000"/>
      </c:valAx>
      <c:valAx>
        <c:axId val="3732486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en-US" sz="12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 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  <a:sym typeface="Symbol" panose="05050102010706020507" pitchFamily="18" charset="2"/>
                  </a:rPr>
                  <a:t>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10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13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m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608657631688103E-2"/>
              <c:y val="0.243291411490230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51567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31296720821289"/>
          <c:y val="5.0403833569061252E-2"/>
          <c:w val="0.72458055084886541"/>
          <c:h val="0.8007529219705446"/>
        </c:manualLayout>
      </c:layout>
      <c:scatterChart>
        <c:scatterStyle val="smoothMarker"/>
        <c:varyColors val="0"/>
        <c:ser>
          <c:idx val="4"/>
          <c:order val="0"/>
          <c:tx>
            <c:v>50 kDa</c:v>
          </c:tx>
          <c:spPr>
            <a:ln w="12700">
              <a:noFill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'50 kDa '!$K$4:$K$16</c:f>
              <c:numCache>
                <c:formatCode>General</c:formatCode>
                <c:ptCount val="13"/>
                <c:pt idx="1">
                  <c:v>600</c:v>
                </c:pt>
                <c:pt idx="2">
                  <c:v>1200</c:v>
                </c:pt>
                <c:pt idx="3">
                  <c:v>1800</c:v>
                </c:pt>
                <c:pt idx="4">
                  <c:v>2400</c:v>
                </c:pt>
                <c:pt idx="5">
                  <c:v>3000</c:v>
                </c:pt>
                <c:pt idx="6">
                  <c:v>3600</c:v>
                </c:pt>
                <c:pt idx="7">
                  <c:v>4200</c:v>
                </c:pt>
                <c:pt idx="8">
                  <c:v>4800</c:v>
                </c:pt>
                <c:pt idx="9">
                  <c:v>5400</c:v>
                </c:pt>
                <c:pt idx="10">
                  <c:v>6000</c:v>
                </c:pt>
                <c:pt idx="11">
                  <c:v>6600</c:v>
                </c:pt>
                <c:pt idx="12">
                  <c:v>7200</c:v>
                </c:pt>
              </c:numCache>
            </c:numRef>
          </c:xVal>
          <c:yVal>
            <c:numRef>
              <c:f>'50 kDa '!$E$4:$E$16</c:f>
              <c:numCache>
                <c:formatCode>0.000</c:formatCode>
                <c:ptCount val="13"/>
                <c:pt idx="1">
                  <c:v>14.075068870523403</c:v>
                </c:pt>
                <c:pt idx="2">
                  <c:v>10.647382920109999</c:v>
                </c:pt>
                <c:pt idx="3">
                  <c:v>9.5674931129476573</c:v>
                </c:pt>
                <c:pt idx="4">
                  <c:v>8.5090909090909097</c:v>
                </c:pt>
                <c:pt idx="5">
                  <c:v>8.1707988980716202</c:v>
                </c:pt>
                <c:pt idx="6">
                  <c:v>7.8363636363635996</c:v>
                </c:pt>
                <c:pt idx="7">
                  <c:v>7.5573002754819996</c:v>
                </c:pt>
                <c:pt idx="8">
                  <c:v>7.4371900826446309</c:v>
                </c:pt>
                <c:pt idx="9">
                  <c:v>7.3979338842975206</c:v>
                </c:pt>
                <c:pt idx="10">
                  <c:v>7.2906336088154191</c:v>
                </c:pt>
                <c:pt idx="11">
                  <c:v>7.1791845730027504</c:v>
                </c:pt>
                <c:pt idx="12">
                  <c:v>7.0939669421487599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33-4D77-B4C0-8DE3FCBA282C}"/>
            </c:ext>
          </c:extLst>
        </c:ser>
        <c:ser>
          <c:idx val="2"/>
          <c:order val="1"/>
          <c:tx>
            <c:v>n=0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'50 kDa '!$P$4:$P$16</c:f>
              <c:numCache>
                <c:formatCode>0</c:formatCode>
                <c:ptCount val="13"/>
                <c:pt idx="1">
                  <c:v>619.23205555521292</c:v>
                </c:pt>
                <c:pt idx="2">
                  <c:v>1219.9617955165784</c:v>
                </c:pt>
                <c:pt idx="3">
                  <c:v>1671.486450911319</c:v>
                </c:pt>
                <c:pt idx="4">
                  <c:v>2514.8369241977957</c:v>
                </c:pt>
                <c:pt idx="5">
                  <c:v>2972.1578574341047</c:v>
                </c:pt>
                <c:pt idx="6">
                  <c:v>3615.036806207801</c:v>
                </c:pt>
                <c:pt idx="7">
                  <c:v>4420.4182880837525</c:v>
                </c:pt>
                <c:pt idx="8">
                  <c:v>4903.5621803365566</c:v>
                </c:pt>
                <c:pt idx="9">
                  <c:v>5089.0796297088837</c:v>
                </c:pt>
                <c:pt idx="10">
                  <c:v>5694.6524430852314</c:v>
                </c:pt>
                <c:pt idx="11">
                  <c:v>6558.5462055950238</c:v>
                </c:pt>
                <c:pt idx="12">
                  <c:v>7185.6409486624461</c:v>
                </c:pt>
              </c:numCache>
            </c:numRef>
          </c:xVal>
          <c:yVal>
            <c:numRef>
              <c:f>'50 kDa '!$O$4:$O$16</c:f>
              <c:numCache>
                <c:formatCode>0.0</c:formatCode>
                <c:ptCount val="13"/>
                <c:pt idx="1">
                  <c:v>14.075068870523403</c:v>
                </c:pt>
                <c:pt idx="2">
                  <c:v>10.647382920109999</c:v>
                </c:pt>
                <c:pt idx="3">
                  <c:v>9.5674931129476573</c:v>
                </c:pt>
                <c:pt idx="4">
                  <c:v>8.5090909090909097</c:v>
                </c:pt>
                <c:pt idx="5">
                  <c:v>8.1707988980716202</c:v>
                </c:pt>
                <c:pt idx="6">
                  <c:v>7.8363636363635996</c:v>
                </c:pt>
                <c:pt idx="7">
                  <c:v>7.5573002754819996</c:v>
                </c:pt>
                <c:pt idx="8">
                  <c:v>7.4371900826446309</c:v>
                </c:pt>
                <c:pt idx="9">
                  <c:v>7.3979338842975206</c:v>
                </c:pt>
                <c:pt idx="10">
                  <c:v>7.2906336088154191</c:v>
                </c:pt>
                <c:pt idx="11">
                  <c:v>7.1791845730027504</c:v>
                </c:pt>
                <c:pt idx="12">
                  <c:v>7.12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33-4D77-B4C0-8DE3FCBA2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07887"/>
        <c:axId val="2084210383"/>
      </c:scatterChart>
      <c:valAx>
        <c:axId val="2084207887"/>
        <c:scaling>
          <c:orientation val="minMax"/>
          <c:max val="80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t (s)</a:t>
                </a:r>
              </a:p>
            </c:rich>
          </c:tx>
          <c:layout>
            <c:manualLayout>
              <c:xMode val="edge"/>
              <c:yMode val="edge"/>
              <c:x val="0.52410623862329608"/>
              <c:y val="0.92690821120669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10383"/>
        <c:crosses val="autoZero"/>
        <c:crossBetween val="midCat"/>
        <c:majorUnit val="2000"/>
      </c:valAx>
      <c:valAx>
        <c:axId val="2084210383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200"/>
                  <a:t>J (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 h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-2</a:t>
                </a:r>
                <a:r>
                  <a:rPr lang="es-ES" sz="1200"/>
                  <a:t>)</a:t>
                </a:r>
              </a:p>
            </c:rich>
          </c:tx>
          <c:layout>
            <c:manualLayout>
              <c:xMode val="edge"/>
              <c:yMode val="edge"/>
              <c:x val="4.3178426226133499E-4"/>
              <c:y val="0.326523222030401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0788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60297451742582808"/>
          <c:y val="0.220653916273096"/>
          <c:w val="0.24187780324927738"/>
          <c:h val="8.8842840130720357E-2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  <c:extLst/>
  </c:chart>
  <c:spPr>
    <a:ln w="12700">
      <a:noFill/>
    </a:ln>
  </c:spPr>
  <c:txPr>
    <a:bodyPr/>
    <a:lstStyle/>
    <a:p>
      <a:pPr>
        <a:defRPr sz="1200" b="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67313973213155"/>
          <c:y val="5.6155480564929382E-2"/>
          <c:w val="0.7060181785958427"/>
          <c:h val="0.73497669934115384"/>
        </c:manualLayout>
      </c:layout>
      <c:scatterChart>
        <c:scatterStyle val="lineMarker"/>
        <c:varyColors val="0"/>
        <c:ser>
          <c:idx val="2"/>
          <c:order val="0"/>
          <c:tx>
            <c:v>50 kDa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'50 kDa '!$K$5:$K$16</c:f>
              <c:numCache>
                <c:formatCode>General</c:formatCode>
                <c:ptCount val="12"/>
                <c:pt idx="0">
                  <c:v>600</c:v>
                </c:pt>
                <c:pt idx="1">
                  <c:v>1200</c:v>
                </c:pt>
                <c:pt idx="2">
                  <c:v>1800</c:v>
                </c:pt>
                <c:pt idx="3">
                  <c:v>2400</c:v>
                </c:pt>
                <c:pt idx="4">
                  <c:v>3000</c:v>
                </c:pt>
                <c:pt idx="5">
                  <c:v>3600</c:v>
                </c:pt>
                <c:pt idx="6">
                  <c:v>4200</c:v>
                </c:pt>
                <c:pt idx="7">
                  <c:v>4800</c:v>
                </c:pt>
                <c:pt idx="8">
                  <c:v>5400</c:v>
                </c:pt>
                <c:pt idx="9">
                  <c:v>6000</c:v>
                </c:pt>
                <c:pt idx="10">
                  <c:v>6600</c:v>
                </c:pt>
                <c:pt idx="11">
                  <c:v>7200</c:v>
                </c:pt>
              </c:numCache>
            </c:numRef>
          </c:xVal>
          <c:yVal>
            <c:numRef>
              <c:f>'50 kDa '!$J$5:$J$16</c:f>
              <c:numCache>
                <c:formatCode>0.0</c:formatCode>
                <c:ptCount val="12"/>
                <c:pt idx="0">
                  <c:v>2.6109818294652789</c:v>
                </c:pt>
                <c:pt idx="1">
                  <c:v>3.5642833136963299</c:v>
                </c:pt>
                <c:pt idx="2">
                  <c:v>4.0061192715599958</c:v>
                </c:pt>
                <c:pt idx="3">
                  <c:v>4.5479854695307349</c:v>
                </c:pt>
                <c:pt idx="4">
                  <c:v>4.7507848869800631</c:v>
                </c:pt>
                <c:pt idx="5">
                  <c:v>4.9684834718608402</c:v>
                </c:pt>
                <c:pt idx="6">
                  <c:v>5.1648847038912091</c:v>
                </c:pt>
                <c:pt idx="7">
                  <c:v>5.2539537806900229</c:v>
                </c:pt>
                <c:pt idx="8">
                  <c:v>5.2836917671050001</c:v>
                </c:pt>
                <c:pt idx="9">
                  <c:v>5.3666095659312498</c:v>
                </c:pt>
                <c:pt idx="10">
                  <c:v>5.4553575649588693</c:v>
                </c:pt>
                <c:pt idx="11">
                  <c:v>5.5250985092581422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0A-4CF0-84D1-D86CC562A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251567"/>
        <c:axId val="373248655"/>
      </c:scatterChart>
      <c:valAx>
        <c:axId val="373251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(s)</a:t>
                </a:r>
              </a:p>
            </c:rich>
          </c:tx>
          <c:layout>
            <c:manualLayout>
              <c:xMode val="edge"/>
              <c:yMode val="edge"/>
              <c:x val="0.4746992081758114"/>
              <c:y val="0.898148148148148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48655"/>
        <c:crosses val="autoZero"/>
        <c:crossBetween val="midCat"/>
        <c:majorUnit val="2000"/>
      </c:valAx>
      <c:valAx>
        <c:axId val="3732486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en-US" sz="12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 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  <a:sym typeface="Symbol" panose="05050102010706020507" pitchFamily="18" charset="2"/>
                  </a:rPr>
                  <a:t>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10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13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m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608657631688103E-2"/>
              <c:y val="0.243291411490230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51567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61156407335875473"/>
          <c:y val="0.42401596736341113"/>
          <c:w val="0.20555282679697193"/>
          <c:h val="0.14879818594104308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31302235058431"/>
          <c:y val="4.3254593175853021E-2"/>
          <c:w val="0.72458055084886541"/>
          <c:h val="0.8007529219705446"/>
        </c:manualLayout>
      </c:layout>
      <c:scatterChart>
        <c:scatterStyle val="smoothMarker"/>
        <c:varyColors val="0"/>
        <c:ser>
          <c:idx val="0"/>
          <c:order val="0"/>
          <c:tx>
            <c:v>10 kDa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'10kDa'!$K$5:$K$16</c:f>
              <c:numCache>
                <c:formatCode>General</c:formatCode>
                <c:ptCount val="12"/>
                <c:pt idx="0">
                  <c:v>600</c:v>
                </c:pt>
                <c:pt idx="1">
                  <c:v>1200</c:v>
                </c:pt>
                <c:pt idx="2">
                  <c:v>1800</c:v>
                </c:pt>
                <c:pt idx="3">
                  <c:v>2400</c:v>
                </c:pt>
                <c:pt idx="4">
                  <c:v>3000</c:v>
                </c:pt>
                <c:pt idx="5">
                  <c:v>3600</c:v>
                </c:pt>
                <c:pt idx="6">
                  <c:v>4200</c:v>
                </c:pt>
                <c:pt idx="7">
                  <c:v>4800</c:v>
                </c:pt>
                <c:pt idx="8">
                  <c:v>5400</c:v>
                </c:pt>
                <c:pt idx="9">
                  <c:v>6000</c:v>
                </c:pt>
                <c:pt idx="10">
                  <c:v>6600</c:v>
                </c:pt>
                <c:pt idx="11">
                  <c:v>7200</c:v>
                </c:pt>
              </c:numCache>
            </c:numRef>
          </c:xVal>
          <c:yVal>
            <c:numRef>
              <c:f>'10kDa'!$E$5:$E$16</c:f>
              <c:numCache>
                <c:formatCode>0.00</c:formatCode>
                <c:ptCount val="12"/>
                <c:pt idx="0">
                  <c:v>11.197272727272702</c:v>
                </c:pt>
                <c:pt idx="1">
                  <c:v>9.0918181818181836</c:v>
                </c:pt>
                <c:pt idx="2">
                  <c:v>7.7345454545454579</c:v>
                </c:pt>
                <c:pt idx="3">
                  <c:v>7.269090909090913</c:v>
                </c:pt>
                <c:pt idx="4">
                  <c:v>6.9527272727272722</c:v>
                </c:pt>
                <c:pt idx="5">
                  <c:v>6.8245454545454551</c:v>
                </c:pt>
                <c:pt idx="6">
                  <c:v>6.6318181818181836</c:v>
                </c:pt>
                <c:pt idx="7">
                  <c:v>6.443636363636366</c:v>
                </c:pt>
                <c:pt idx="8">
                  <c:v>6.3736363636363675</c:v>
                </c:pt>
                <c:pt idx="9">
                  <c:v>6.3163636363636355</c:v>
                </c:pt>
                <c:pt idx="10">
                  <c:v>6.0727272727272723</c:v>
                </c:pt>
                <c:pt idx="11">
                  <c:v>6.0627272727272725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45-4567-BF54-3E02250408A3}"/>
            </c:ext>
          </c:extLst>
        </c:ser>
        <c:ser>
          <c:idx val="1"/>
          <c:order val="1"/>
          <c:tx>
            <c:strRef>
              <c:f>'10kDa'!$O$28</c:f>
              <c:strCache>
                <c:ptCount val="1"/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'10kDa'!$P$4:$P$15</c:f>
              <c:numCache>
                <c:formatCode>0</c:formatCode>
                <c:ptCount val="12"/>
                <c:pt idx="1">
                  <c:v>581.76836546987579</c:v>
                </c:pt>
                <c:pt idx="2">
                  <c:v>1094.166959644496</c:v>
                </c:pt>
                <c:pt idx="3">
                  <c:v>1928.8816641549818</c:v>
                </c:pt>
                <c:pt idx="4">
                  <c:v>2495.9380998960655</c:v>
                </c:pt>
                <c:pt idx="5">
                  <c:v>3084.3917133131199</c:v>
                </c:pt>
                <c:pt idx="6">
                  <c:v>3404.8850147775102</c:v>
                </c:pt>
                <c:pt idx="7">
                  <c:v>4037.0720406672008</c:v>
                </c:pt>
                <c:pt idx="8">
                  <c:v>4963.5695386497</c:v>
                </c:pt>
                <c:pt idx="9">
                  <c:v>5453.0949601772518</c:v>
                </c:pt>
                <c:pt idx="10">
                  <c:v>5956.2316432497992</c:v>
                </c:pt>
                <c:pt idx="11">
                  <c:v>7248.9584279376695</c:v>
                </c:pt>
              </c:numCache>
            </c:numRef>
          </c:xVal>
          <c:yVal>
            <c:numRef>
              <c:f>'10kDa'!$O$4:$O$15</c:f>
              <c:numCache>
                <c:formatCode>0.0</c:formatCode>
                <c:ptCount val="12"/>
                <c:pt idx="1">
                  <c:v>11.197272727272702</c:v>
                </c:pt>
                <c:pt idx="2">
                  <c:v>9.0918181818181836</c:v>
                </c:pt>
                <c:pt idx="3">
                  <c:v>7.7345454545454579</c:v>
                </c:pt>
                <c:pt idx="4">
                  <c:v>7.269090909090913</c:v>
                </c:pt>
                <c:pt idx="5">
                  <c:v>6.9527272727272722</c:v>
                </c:pt>
                <c:pt idx="6">
                  <c:v>6.8245454545454551</c:v>
                </c:pt>
                <c:pt idx="7">
                  <c:v>6.6318181818181836</c:v>
                </c:pt>
                <c:pt idx="8">
                  <c:v>6.443636363636366</c:v>
                </c:pt>
                <c:pt idx="9">
                  <c:v>6.3736363636363675</c:v>
                </c:pt>
                <c:pt idx="10">
                  <c:v>6.3163636363636355</c:v>
                </c:pt>
                <c:pt idx="11">
                  <c:v>6.2160000000000002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45-4567-BF54-3E0225040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07887"/>
        <c:axId val="2084210383"/>
      </c:scatterChart>
      <c:valAx>
        <c:axId val="2084207887"/>
        <c:scaling>
          <c:orientation val="minMax"/>
          <c:max val="80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t (s)</a:t>
                </a:r>
              </a:p>
            </c:rich>
          </c:tx>
          <c:layout>
            <c:manualLayout>
              <c:xMode val="edge"/>
              <c:yMode val="edge"/>
              <c:x val="0.52410623862329608"/>
              <c:y val="0.92690821120669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10383"/>
        <c:crosses val="autoZero"/>
        <c:crossBetween val="midCat"/>
        <c:majorUnit val="2000"/>
      </c:valAx>
      <c:valAx>
        <c:axId val="2084210383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200"/>
                  <a:t>J (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 h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-2</a:t>
                </a:r>
                <a:r>
                  <a:rPr lang="es-ES" sz="1200"/>
                  <a:t>)</a:t>
                </a:r>
              </a:p>
            </c:rich>
          </c:tx>
          <c:layout>
            <c:manualLayout>
              <c:xMode val="edge"/>
              <c:yMode val="edge"/>
              <c:x val="4.3178426226133499E-4"/>
              <c:y val="0.326523222030401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07887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  <c:extLst/>
  </c:chart>
  <c:spPr>
    <a:ln w="12700">
      <a:noFill/>
    </a:ln>
  </c:spPr>
  <c:txPr>
    <a:bodyPr/>
    <a:lstStyle/>
    <a:p>
      <a:pPr>
        <a:defRPr sz="1200" b="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67313973213155"/>
          <c:y val="5.6155480564929382E-2"/>
          <c:w val="0.7060181785958427"/>
          <c:h val="0.73497669934115384"/>
        </c:manualLayout>
      </c:layout>
      <c:scatterChart>
        <c:scatterStyle val="lineMarker"/>
        <c:varyColors val="0"/>
        <c:ser>
          <c:idx val="1"/>
          <c:order val="0"/>
          <c:tx>
            <c:v>10 kDa</c:v>
          </c:tx>
          <c:spPr>
            <a:ln w="19050">
              <a:noFill/>
            </a:ln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'10kDa'!$K$5:$K$16</c:f>
              <c:numCache>
                <c:formatCode>General</c:formatCode>
                <c:ptCount val="12"/>
                <c:pt idx="0">
                  <c:v>600</c:v>
                </c:pt>
                <c:pt idx="1">
                  <c:v>1200</c:v>
                </c:pt>
                <c:pt idx="2">
                  <c:v>1800</c:v>
                </c:pt>
                <c:pt idx="3">
                  <c:v>2400</c:v>
                </c:pt>
                <c:pt idx="4">
                  <c:v>3000</c:v>
                </c:pt>
                <c:pt idx="5">
                  <c:v>3600</c:v>
                </c:pt>
                <c:pt idx="6">
                  <c:v>4200</c:v>
                </c:pt>
                <c:pt idx="7">
                  <c:v>4800</c:v>
                </c:pt>
                <c:pt idx="8">
                  <c:v>5400</c:v>
                </c:pt>
                <c:pt idx="9">
                  <c:v>6000</c:v>
                </c:pt>
                <c:pt idx="10">
                  <c:v>6600</c:v>
                </c:pt>
                <c:pt idx="11">
                  <c:v>7200</c:v>
                </c:pt>
              </c:numCache>
            </c:numRef>
          </c:xVal>
          <c:yVal>
            <c:numRef>
              <c:f>'10kDa'!$J$5:$J$16</c:f>
              <c:numCache>
                <c:formatCode>0.0</c:formatCode>
                <c:ptCount val="12"/>
                <c:pt idx="0">
                  <c:v>3.290826634984851</c:v>
                </c:pt>
                <c:pt idx="1">
                  <c:v>4.1528231660820394</c:v>
                </c:pt>
                <c:pt idx="2">
                  <c:v>4.9572827517859741</c:v>
                </c:pt>
                <c:pt idx="3">
                  <c:v>5.3023351307979869</c:v>
                </c:pt>
                <c:pt idx="4">
                  <c:v>5.5632350298066946</c:v>
                </c:pt>
                <c:pt idx="5">
                  <c:v>5.6758303004807997</c:v>
                </c:pt>
                <c:pt idx="6">
                  <c:v>5.8533144118992846</c:v>
                </c:pt>
                <c:pt idx="7">
                  <c:v>6.0368569242604933</c:v>
                </c:pt>
                <c:pt idx="8">
                  <c:v>6.1078968307228534</c:v>
                </c:pt>
                <c:pt idx="9">
                  <c:v>6.16719156188221</c:v>
                </c:pt>
                <c:pt idx="10">
                  <c:v>6.4319280805648509</c:v>
                </c:pt>
                <c:pt idx="11">
                  <c:v>6.4432487168402197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E9-44BB-BE58-A463FE4F8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251567"/>
        <c:axId val="373248655"/>
      </c:scatterChart>
      <c:valAx>
        <c:axId val="373251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(s)</a:t>
                </a:r>
              </a:p>
            </c:rich>
          </c:tx>
          <c:layout>
            <c:manualLayout>
              <c:xMode val="edge"/>
              <c:yMode val="edge"/>
              <c:x val="0.4746992081758114"/>
              <c:y val="0.898148148148148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48655"/>
        <c:crosses val="autoZero"/>
        <c:crossBetween val="midCat"/>
        <c:majorUnit val="2000"/>
      </c:valAx>
      <c:valAx>
        <c:axId val="3732486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en-US" sz="12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 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  <a:sym typeface="Symbol" panose="05050102010706020507" pitchFamily="18" charset="2"/>
                  </a:rPr>
                  <a:t>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10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13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m</a:t>
                </a:r>
                <a:r>
                  <a:rPr lang="en-US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US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608657631688103E-2"/>
              <c:y val="0.243291411490230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373251567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63203099961832265"/>
          <c:y val="0.43144400821763573"/>
          <c:w val="0.20555282679697193"/>
          <c:h val="0.14879818594104308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39536487176299"/>
          <c:y val="4.6829213372457122E-2"/>
          <c:w val="0.72458055084886541"/>
          <c:h val="0.8007529219705446"/>
        </c:manualLayout>
      </c:layout>
      <c:scatterChart>
        <c:scatterStyle val="smoothMarker"/>
        <c:varyColors val="0"/>
        <c:ser>
          <c:idx val="5"/>
          <c:order val="0"/>
          <c:tx>
            <c:v>1 kDa</c:v>
          </c:tx>
          <c:spPr>
            <a:ln w="127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'1 kDa'!$K$4:$K$10</c:f>
              <c:numCache>
                <c:formatCode>0.00</c:formatCode>
                <c:ptCount val="7"/>
                <c:pt idx="0">
                  <c:v>600</c:v>
                </c:pt>
                <c:pt idx="1">
                  <c:v>1200</c:v>
                </c:pt>
                <c:pt idx="2">
                  <c:v>2400</c:v>
                </c:pt>
                <c:pt idx="3">
                  <c:v>3600</c:v>
                </c:pt>
                <c:pt idx="4">
                  <c:v>4800</c:v>
                </c:pt>
                <c:pt idx="5">
                  <c:v>6000</c:v>
                </c:pt>
                <c:pt idx="6">
                  <c:v>7200</c:v>
                </c:pt>
              </c:numCache>
            </c:numRef>
          </c:xVal>
          <c:yVal>
            <c:numRef>
              <c:f>'1 kDa'!$E$4:$E$10</c:f>
              <c:numCache>
                <c:formatCode>0.000</c:formatCode>
                <c:ptCount val="7"/>
                <c:pt idx="0">
                  <c:v>3.2645454545454604</c:v>
                </c:pt>
                <c:pt idx="1">
                  <c:v>2.3354545454545459</c:v>
                </c:pt>
                <c:pt idx="2">
                  <c:v>1.8636363636363003</c:v>
                </c:pt>
                <c:pt idx="3">
                  <c:v>1.4824545454545399</c:v>
                </c:pt>
                <c:pt idx="4">
                  <c:v>1.3824545454545403</c:v>
                </c:pt>
                <c:pt idx="5">
                  <c:v>1.3060909090909001</c:v>
                </c:pt>
                <c:pt idx="6">
                  <c:v>1.2390909090909099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CB-49DA-9C74-901E16A684DF}"/>
            </c:ext>
          </c:extLst>
        </c:ser>
        <c:ser>
          <c:idx val="8"/>
          <c:order val="1"/>
          <c:tx>
            <c:v>1kda n=0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'1 kDa'!$P$4:$P$10</c:f>
              <c:numCache>
                <c:formatCode>0</c:formatCode>
                <c:ptCount val="7"/>
                <c:pt idx="0">
                  <c:v>630.28054079085268</c:v>
                </c:pt>
                <c:pt idx="1">
                  <c:v>1230.9096441125942</c:v>
                </c:pt>
                <c:pt idx="2">
                  <c:v>2088.0973844378686</c:v>
                </c:pt>
                <c:pt idx="3">
                  <c:v>3902.4516754349274</c:v>
                </c:pt>
                <c:pt idx="4">
                  <c:v>4859.4170376763614</c:v>
                </c:pt>
                <c:pt idx="5">
                  <c:v>5900.3301656783533</c:v>
                </c:pt>
                <c:pt idx="6">
                  <c:v>7188.5135518690422</c:v>
                </c:pt>
              </c:numCache>
            </c:numRef>
          </c:xVal>
          <c:yVal>
            <c:numRef>
              <c:f>'1 kDa'!$O$4:$O$10</c:f>
              <c:numCache>
                <c:formatCode>0.00</c:formatCode>
                <c:ptCount val="7"/>
                <c:pt idx="0">
                  <c:v>3.2645454545454604</c:v>
                </c:pt>
                <c:pt idx="1">
                  <c:v>2.3354545454545459</c:v>
                </c:pt>
                <c:pt idx="2">
                  <c:v>1.8636363636363003</c:v>
                </c:pt>
                <c:pt idx="3">
                  <c:v>1.4824545454545399</c:v>
                </c:pt>
                <c:pt idx="4">
                  <c:v>1.3824545454545403</c:v>
                </c:pt>
                <c:pt idx="5">
                  <c:v>1.3060909090909001</c:v>
                </c:pt>
                <c:pt idx="6">
                  <c:v>1.2390909090909099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B-49DA-9C74-901E16A68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07887"/>
        <c:axId val="2084210383"/>
      </c:scatterChart>
      <c:valAx>
        <c:axId val="2084207887"/>
        <c:scaling>
          <c:orientation val="minMax"/>
          <c:max val="800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s-ES"/>
                  <a:t>t (s)</a:t>
                </a:r>
              </a:p>
            </c:rich>
          </c:tx>
          <c:layout>
            <c:manualLayout>
              <c:xMode val="edge"/>
              <c:yMode val="edge"/>
              <c:x val="0.52410623862329608"/>
              <c:y val="0.92690821120669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10383"/>
        <c:crosses val="autoZero"/>
        <c:crossBetween val="midCat"/>
        <c:majorUnit val="2000"/>
      </c:valAx>
      <c:valAx>
        <c:axId val="2084210383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200"/>
                  <a:t>J (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 h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s-ES"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m</a:t>
                </a:r>
                <a:r>
                  <a:rPr lang="es-ES" sz="1200" b="0" i="0" u="none" strike="noStrike" kern="12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-2</a:t>
                </a:r>
                <a:r>
                  <a:rPr lang="es-ES" sz="1200"/>
                  <a:t>)</a:t>
                </a:r>
              </a:p>
            </c:rich>
          </c:tx>
          <c:layout>
            <c:manualLayout>
              <c:xMode val="edge"/>
              <c:yMode val="edge"/>
              <c:x val="4.3178426226133499E-4"/>
              <c:y val="0.326523222030401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2084207887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6288423360258329"/>
          <c:y val="0.13840169442626643"/>
          <c:w val="0.31735880348922413"/>
          <c:h val="0.14722064641055316"/>
        </c:manualLayout>
      </c:layout>
      <c:overlay val="0"/>
    </c:legend>
    <c:plotVisOnly val="1"/>
    <c:dispBlanksAs val="gap"/>
    <c:showDLblsOverMax val="0"/>
    <c:extLst/>
  </c:chart>
  <c:spPr>
    <a:ln w="12700">
      <a:noFill/>
    </a:ln>
  </c:spPr>
  <c:txPr>
    <a:bodyPr/>
    <a:lstStyle/>
    <a:p>
      <a:pPr>
        <a:defRPr sz="1200" b="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504825</xdr:colOff>
      <xdr:row>1</xdr:row>
      <xdr:rowOff>142875</xdr:rowOff>
    </xdr:from>
    <xdr:to>
      <xdr:col>29</xdr:col>
      <xdr:colOff>276225</xdr:colOff>
      <xdr:row>17</xdr:row>
      <xdr:rowOff>171450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180975</xdr:colOff>
      <xdr:row>1</xdr:row>
      <xdr:rowOff>28576</xdr:rowOff>
    </xdr:from>
    <xdr:to>
      <xdr:col>24</xdr:col>
      <xdr:colOff>104775</xdr:colOff>
      <xdr:row>16</xdr:row>
      <xdr:rowOff>142876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91C817A-2909-4877-BF84-6FD4240F3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0.16684</cdr:x>
      <cdr:y>0.05591</cdr:y>
    </cdr:from>
    <cdr:to>
      <cdr:x>0.37143</cdr:x>
      <cdr:y>0.13178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EEA8392B-235B-6A5C-39B4-73BC0A483109}"/>
            </a:ext>
          </a:extLst>
        </cdr:cNvPr>
        <cdr:cNvSpPr txBox="1"/>
      </cdr:nvSpPr>
      <cdr:spPr>
        <a:xfrm xmlns:a="http://schemas.openxmlformats.org/drawingml/2006/main">
          <a:off x="494231" y="119298"/>
          <a:ext cx="606035" cy="16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(B)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0.21202</cdr:x>
      <cdr:y>0.0501</cdr:y>
    </cdr:from>
    <cdr:to>
      <cdr:x>0.41661</cdr:x>
      <cdr:y>0.12597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EEA8392B-235B-6A5C-39B4-73BC0A483109}"/>
            </a:ext>
          </a:extLst>
        </cdr:cNvPr>
        <cdr:cNvSpPr txBox="1"/>
      </cdr:nvSpPr>
      <cdr:spPr>
        <a:xfrm xmlns:a="http://schemas.openxmlformats.org/drawingml/2006/main">
          <a:off x="670473" y="164145"/>
          <a:ext cx="646975" cy="2485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(A)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383117</xdr:colOff>
      <xdr:row>1</xdr:row>
      <xdr:rowOff>0</xdr:rowOff>
    </xdr:from>
    <xdr:to>
      <xdr:col>20</xdr:col>
      <xdr:colOff>745066</xdr:colOff>
      <xdr:row>15</xdr:row>
      <xdr:rowOff>55033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8DB613D-3AA9-413D-9404-A0856C241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1081616</xdr:colOff>
      <xdr:row>1</xdr:row>
      <xdr:rowOff>0</xdr:rowOff>
    </xdr:from>
    <xdr:to>
      <xdr:col>23</xdr:col>
      <xdr:colOff>552449</xdr:colOff>
      <xdr:row>15</xdr:row>
      <xdr:rowOff>48683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400E1D-2EE5-402A-BEE1-7CEDB1F144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361500</xdr:colOff>
      <xdr:row>1</xdr:row>
      <xdr:rowOff>1</xdr:rowOff>
    </xdr:from>
    <xdr:to>
      <xdr:col>18</xdr:col>
      <xdr:colOff>892464</xdr:colOff>
      <xdr:row>15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6966E1-8E42-4AF9-BD6F-B92DA744B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1077576</xdr:colOff>
      <xdr:row>1</xdr:row>
      <xdr:rowOff>0</xdr:rowOff>
    </xdr:from>
    <xdr:to>
      <xdr:col>22</xdr:col>
      <xdr:colOff>335011</xdr:colOff>
      <xdr:row>15</xdr:row>
      <xdr:rowOff>117928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69E4894-5BE5-4CEE-8D12-E5457AEF55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0.18085</cdr:x>
      <cdr:y>0.04538</cdr:y>
    </cdr:from>
    <cdr:to>
      <cdr:x>0.97518</cdr:x>
      <cdr:y>0.14861</cdr:y>
    </cdr:to>
    <cdr:sp macro="" textlink="">
      <cdr:nvSpPr>
        <cdr:cNvPr id="4" name="CuadroTexto 3">
          <a:extLst xmlns:a="http://schemas.openxmlformats.org/drawingml/2006/main">
            <a:ext uri="{FF2B5EF4-FFF2-40B4-BE49-F238E27FC236}">
              <a16:creationId xmlns:a16="http://schemas.microsoft.com/office/drawing/2014/main" id="{85FD3114-81AD-E607-5FB3-2714FAFBE9AD}"/>
            </a:ext>
          </a:extLst>
        </cdr:cNvPr>
        <cdr:cNvSpPr txBox="1"/>
      </cdr:nvSpPr>
      <cdr:spPr>
        <a:xfrm xmlns:a="http://schemas.openxmlformats.org/drawingml/2006/main">
          <a:off x="485775" y="161241"/>
          <a:ext cx="2133599" cy="366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>
              <a:latin typeface="Times New Roman" panose="02020603050405020304" pitchFamily="18" charset="0"/>
              <a:cs typeface="Times New Roman" panose="02020603050405020304" pitchFamily="18" charset="0"/>
            </a:rPr>
            <a:t>Hermia´s cake layer model </a:t>
          </a:r>
          <a:r>
            <a:rPr lang="es-ES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es-ES" sz="1000">
              <a:latin typeface="Times New Roman" panose="02020603050405020304" pitchFamily="18" charset="0"/>
              <a:cs typeface="Times New Roman" panose="02020603050405020304" pitchFamily="18" charset="0"/>
            </a:rPr>
            <a:t>n=0)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176006</xdr:colOff>
      <xdr:row>0</xdr:row>
      <xdr:rowOff>269186</xdr:rowOff>
    </xdr:from>
    <xdr:to>
      <xdr:col>20</xdr:col>
      <xdr:colOff>525119</xdr:colOff>
      <xdr:row>16</xdr:row>
      <xdr:rowOff>62121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F6C3EC-95A6-48FC-B511-782A7772F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702366</xdr:colOff>
      <xdr:row>1</xdr:row>
      <xdr:rowOff>21121</xdr:rowOff>
    </xdr:from>
    <xdr:to>
      <xdr:col>26</xdr:col>
      <xdr:colOff>403778</xdr:colOff>
      <xdr:row>15</xdr:row>
      <xdr:rowOff>72474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A0309D4-B441-44E6-B127-7FF23ABA96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259556</xdr:colOff>
      <xdr:row>0</xdr:row>
      <xdr:rowOff>171451</xdr:rowOff>
    </xdr:from>
    <xdr:to>
      <xdr:col>19</xdr:col>
      <xdr:colOff>350044</xdr:colOff>
      <xdr:row>14</xdr:row>
      <xdr:rowOff>161926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8C96AE3-C524-47E8-9D03-CD538CCF4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678656</xdr:colOff>
      <xdr:row>0</xdr:row>
      <xdr:rowOff>209551</xdr:rowOff>
    </xdr:from>
    <xdr:to>
      <xdr:col>22</xdr:col>
      <xdr:colOff>819150</xdr:colOff>
      <xdr:row>15</xdr:row>
      <xdr:rowOff>9526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800CD8-F535-484B-9F6B-211B993D7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FBD99-C64A-48FF-A9AC-7F115F68FF84}">
  <dimension ref="A1:B31"/>
  <sheetViews>
    <sheetView tabSelected="1" workbookViewId="0">
      <selection activeCell="C5" sqref="C5"/>
    </sheetView>
  </sheetViews>
  <sheetFormatPr baseColWidth="10" defaultColWidth="42.140625" defaultRowHeight="15" x14ac:dyDescent="0.2"/>
  <cols>
    <col min="1" max="16384" width="42.140625" style="24"/>
  </cols>
  <sheetData>
    <row r="1" spans="1:2" ht="15.75" x14ac:dyDescent="0.25">
      <c r="A1" s="23"/>
      <c r="B1" s="18" t="s">
        <v>20</v>
      </c>
    </row>
    <row r="2" spans="1:2" ht="15.75" x14ac:dyDescent="0.2">
      <c r="A2" s="19" t="s">
        <v>74</v>
      </c>
      <c r="B2" s="21">
        <f>3.94+0.486+0.3+0.069+0.369+0.005</f>
        <v>5.1689999999999996</v>
      </c>
    </row>
    <row r="3" spans="1:2" ht="15.75" x14ac:dyDescent="0.2">
      <c r="A3" s="29" t="s">
        <v>21</v>
      </c>
      <c r="B3" s="18" t="s">
        <v>22</v>
      </c>
    </row>
    <row r="4" spans="1:2" ht="15.75" x14ac:dyDescent="0.2">
      <c r="A4" s="29" t="s">
        <v>23</v>
      </c>
      <c r="B4" s="18" t="s">
        <v>24</v>
      </c>
    </row>
    <row r="5" spans="1:2" ht="15.75" x14ac:dyDescent="0.2">
      <c r="A5" s="29" t="s">
        <v>25</v>
      </c>
      <c r="B5" s="18" t="s">
        <v>26</v>
      </c>
    </row>
    <row r="6" spans="1:2" ht="15.75" x14ac:dyDescent="0.2">
      <c r="A6" s="29" t="s">
        <v>27</v>
      </c>
      <c r="B6" s="18" t="s">
        <v>28</v>
      </c>
    </row>
    <row r="7" spans="1:2" ht="15.75" x14ac:dyDescent="0.2">
      <c r="A7" s="29" t="s">
        <v>29</v>
      </c>
      <c r="B7" s="18" t="s">
        <v>30</v>
      </c>
    </row>
    <row r="8" spans="1:2" ht="15.75" x14ac:dyDescent="0.2">
      <c r="A8" s="29" t="s">
        <v>31</v>
      </c>
      <c r="B8" s="18" t="s">
        <v>32</v>
      </c>
    </row>
    <row r="9" spans="1:2" ht="15.75" x14ac:dyDescent="0.2">
      <c r="A9" s="19" t="s">
        <v>33</v>
      </c>
      <c r="B9" s="28" t="s">
        <v>34</v>
      </c>
    </row>
    <row r="10" spans="1:2" ht="15.75" x14ac:dyDescent="0.2">
      <c r="A10" s="19" t="s">
        <v>35</v>
      </c>
      <c r="B10" s="28" t="s">
        <v>36</v>
      </c>
    </row>
    <row r="11" spans="1:2" ht="15.75" x14ac:dyDescent="0.2">
      <c r="A11" s="19" t="s">
        <v>37</v>
      </c>
      <c r="B11" s="28" t="s">
        <v>38</v>
      </c>
    </row>
    <row r="12" spans="1:2" ht="15.75" x14ac:dyDescent="0.2">
      <c r="A12" s="19" t="s">
        <v>39</v>
      </c>
      <c r="B12" s="28" t="s">
        <v>40</v>
      </c>
    </row>
    <row r="13" spans="1:2" ht="15.75" x14ac:dyDescent="0.2">
      <c r="A13" s="19" t="s">
        <v>41</v>
      </c>
      <c r="B13" s="28" t="s">
        <v>42</v>
      </c>
    </row>
    <row r="14" spans="1:2" ht="15.75" x14ac:dyDescent="0.2">
      <c r="A14" s="19" t="s">
        <v>43</v>
      </c>
      <c r="B14" s="28" t="s">
        <v>44</v>
      </c>
    </row>
    <row r="15" spans="1:2" ht="15.75" x14ac:dyDescent="0.2">
      <c r="A15" s="20" t="s">
        <v>45</v>
      </c>
      <c r="B15" s="18" t="s">
        <v>46</v>
      </c>
    </row>
    <row r="16" spans="1:2" ht="15.75" x14ac:dyDescent="0.2">
      <c r="A16" s="20" t="s">
        <v>47</v>
      </c>
      <c r="B16" s="18" t="s">
        <v>48</v>
      </c>
    </row>
    <row r="17" spans="1:2" s="26" customFormat="1" ht="15.75" x14ac:dyDescent="0.2">
      <c r="A17" s="25" t="s">
        <v>49</v>
      </c>
      <c r="B17" s="22">
        <f>(73.2+4.3+161.2+7.4+0.7+31.4+1.2+2.1+0.26+0.73)/1000</f>
        <v>0.28249000000000002</v>
      </c>
    </row>
    <row r="18" spans="1:2" ht="15.75" x14ac:dyDescent="0.2">
      <c r="A18" s="29" t="s">
        <v>64</v>
      </c>
      <c r="B18" s="18" t="s">
        <v>54</v>
      </c>
    </row>
    <row r="19" spans="1:2" ht="15.75" x14ac:dyDescent="0.2">
      <c r="A19" s="29" t="s">
        <v>90</v>
      </c>
      <c r="B19" s="18" t="s">
        <v>55</v>
      </c>
    </row>
    <row r="20" spans="1:2" ht="15.75" x14ac:dyDescent="0.2">
      <c r="A20" s="29" t="s">
        <v>89</v>
      </c>
      <c r="B20" s="18" t="s">
        <v>56</v>
      </c>
    </row>
    <row r="21" spans="1:2" ht="15.75" x14ac:dyDescent="0.2">
      <c r="A21" s="29" t="s">
        <v>65</v>
      </c>
      <c r="B21" s="18" t="s">
        <v>57</v>
      </c>
    </row>
    <row r="22" spans="1:2" ht="15.75" x14ac:dyDescent="0.2">
      <c r="A22" s="29" t="s">
        <v>66</v>
      </c>
      <c r="B22" s="18" t="s">
        <v>58</v>
      </c>
    </row>
    <row r="23" spans="1:2" ht="15.75" x14ac:dyDescent="0.2">
      <c r="A23" s="29" t="s">
        <v>67</v>
      </c>
      <c r="B23" s="18" t="s">
        <v>59</v>
      </c>
    </row>
    <row r="24" spans="1:2" ht="15.75" x14ac:dyDescent="0.2">
      <c r="A24" s="29" t="s">
        <v>68</v>
      </c>
      <c r="B24" s="18" t="s">
        <v>60</v>
      </c>
    </row>
    <row r="25" spans="1:2" ht="15.75" x14ac:dyDescent="0.2">
      <c r="A25" s="29" t="s">
        <v>69</v>
      </c>
      <c r="B25" s="18" t="s">
        <v>61</v>
      </c>
    </row>
    <row r="26" spans="1:2" ht="15.75" x14ac:dyDescent="0.2">
      <c r="A26" s="29" t="s">
        <v>70</v>
      </c>
      <c r="B26" s="18" t="s">
        <v>62</v>
      </c>
    </row>
    <row r="27" spans="1:2" ht="15.75" x14ac:dyDescent="0.2">
      <c r="A27" s="29" t="s">
        <v>71</v>
      </c>
      <c r="B27" s="18" t="s">
        <v>63</v>
      </c>
    </row>
    <row r="28" spans="1:2" s="26" customFormat="1" ht="15.75" x14ac:dyDescent="0.2">
      <c r="A28" s="25" t="s">
        <v>88</v>
      </c>
      <c r="B28" s="18">
        <f>0.041+0.008</f>
        <v>4.9000000000000002E-2</v>
      </c>
    </row>
    <row r="29" spans="1:2" ht="15.75" x14ac:dyDescent="0.2">
      <c r="A29" s="30" t="s">
        <v>50</v>
      </c>
      <c r="B29" s="18" t="s">
        <v>51</v>
      </c>
    </row>
    <row r="30" spans="1:2" ht="15.75" x14ac:dyDescent="0.2">
      <c r="A30" s="29" t="s">
        <v>52</v>
      </c>
      <c r="B30" s="18" t="s">
        <v>53</v>
      </c>
    </row>
    <row r="31" spans="1:2" x14ac:dyDescent="0.2">
      <c r="B31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3411C-F2A8-4765-8BC1-03573349262D}">
  <dimension ref="A1:R15"/>
  <sheetViews>
    <sheetView workbookViewId="0">
      <selection activeCell="L14" sqref="L14"/>
    </sheetView>
  </sheetViews>
  <sheetFormatPr baseColWidth="10" defaultRowHeight="15" x14ac:dyDescent="0.25"/>
  <cols>
    <col min="1" max="1" width="9.85546875" bestFit="1" customWidth="1"/>
    <col min="2" max="2" width="12.28515625" bestFit="1" customWidth="1"/>
    <col min="3" max="7" width="6.28515625" bestFit="1" customWidth="1"/>
    <col min="8" max="8" width="12.28515625" bestFit="1" customWidth="1"/>
    <col min="9" max="9" width="6.140625" customWidth="1"/>
    <col min="10" max="14" width="4.5703125" bestFit="1" customWidth="1"/>
    <col min="15" max="15" width="11.5703125" bestFit="1" customWidth="1"/>
    <col min="16" max="16" width="4.5703125" bestFit="1" customWidth="1"/>
  </cols>
  <sheetData>
    <row r="1" spans="1:18" ht="18.75" x14ac:dyDescent="0.3">
      <c r="A1" s="107"/>
      <c r="B1" s="107"/>
      <c r="C1" s="107"/>
      <c r="D1" s="16"/>
      <c r="L1" s="8"/>
      <c r="M1" s="8"/>
      <c r="N1" s="8"/>
      <c r="O1" s="8"/>
      <c r="P1" s="8"/>
      <c r="Q1" s="8"/>
    </row>
    <row r="2" spans="1:18" x14ac:dyDescent="0.25">
      <c r="A2" s="8"/>
      <c r="B2" s="96" t="s">
        <v>87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86</v>
      </c>
      <c r="H2" s="96" t="s">
        <v>72</v>
      </c>
      <c r="I2" s="96" t="s">
        <v>3</v>
      </c>
      <c r="J2" s="96" t="s">
        <v>77</v>
      </c>
      <c r="K2" s="96" t="s">
        <v>78</v>
      </c>
      <c r="L2" s="96" t="s">
        <v>79</v>
      </c>
      <c r="M2" s="96" t="s">
        <v>80</v>
      </c>
      <c r="N2" s="96" t="s">
        <v>81</v>
      </c>
      <c r="O2" s="96" t="s">
        <v>73</v>
      </c>
      <c r="P2" s="96" t="s">
        <v>3</v>
      </c>
      <c r="Q2" s="97"/>
      <c r="R2" s="97"/>
    </row>
    <row r="3" spans="1:18" x14ac:dyDescent="0.25">
      <c r="A3" s="17" t="s">
        <v>76</v>
      </c>
      <c r="B3" s="8" t="s">
        <v>129</v>
      </c>
      <c r="C3" s="7">
        <v>-12.3</v>
      </c>
      <c r="D3" s="7">
        <v>-11.5</v>
      </c>
      <c r="E3" s="7">
        <v>-12.5</v>
      </c>
      <c r="F3" s="7">
        <v>-12.2</v>
      </c>
      <c r="G3" s="7">
        <v>-12.8</v>
      </c>
      <c r="H3" s="98">
        <f>AVERAGE(C3:G3)</f>
        <v>-12.26</v>
      </c>
      <c r="I3" s="98">
        <f>STDEV(C3:G3)</f>
        <v>0.48270073544588704</v>
      </c>
      <c r="J3" s="99">
        <v>3.75</v>
      </c>
      <c r="K3" s="99">
        <v>3.78</v>
      </c>
      <c r="L3" s="99">
        <v>3.82</v>
      </c>
      <c r="M3" s="99">
        <v>3.76</v>
      </c>
      <c r="N3" s="99">
        <v>3.67</v>
      </c>
      <c r="O3" s="99">
        <f>AVERAGE(J3:N3)</f>
        <v>3.7560000000000002</v>
      </c>
      <c r="P3" s="99">
        <f>STDEV(J3:N3)</f>
        <v>5.5045435778091491E-2</v>
      </c>
      <c r="Q3" s="97"/>
      <c r="R3" s="97"/>
    </row>
    <row r="4" spans="1:18" x14ac:dyDescent="0.25">
      <c r="A4" s="17" t="s">
        <v>126</v>
      </c>
      <c r="B4" s="8">
        <v>1</v>
      </c>
      <c r="C4" s="7">
        <v>-12.1</v>
      </c>
      <c r="D4" s="7">
        <v>-12.7</v>
      </c>
      <c r="E4" s="7">
        <v>-11.5</v>
      </c>
      <c r="F4" s="7">
        <v>-11.5</v>
      </c>
      <c r="G4" s="7">
        <v>-12.8</v>
      </c>
      <c r="H4" s="98">
        <f>AVERAGE(C4:G4)</f>
        <v>-12.12</v>
      </c>
      <c r="I4" s="98">
        <f>STDEV(C4:G4)</f>
        <v>0.62609903369994113</v>
      </c>
      <c r="J4" s="99">
        <v>3.78</v>
      </c>
      <c r="K4" s="99">
        <v>3.77</v>
      </c>
      <c r="L4" s="99">
        <v>3.81</v>
      </c>
      <c r="M4" s="99">
        <v>3.69</v>
      </c>
      <c r="N4" s="99">
        <v>3.87</v>
      </c>
      <c r="O4" s="99">
        <f t="shared" ref="O4:O7" si="0">AVERAGE(J4:N4)</f>
        <v>3.7839999999999998</v>
      </c>
      <c r="P4" s="99">
        <f t="shared" ref="P4:P7" si="1">STDEV(J4:N4)</f>
        <v>6.5421708935184564E-2</v>
      </c>
      <c r="Q4" s="97"/>
      <c r="R4" s="97"/>
    </row>
    <row r="5" spans="1:18" x14ac:dyDescent="0.25">
      <c r="A5" s="17" t="s">
        <v>126</v>
      </c>
      <c r="B5" s="8">
        <v>10</v>
      </c>
      <c r="C5" s="7">
        <v>-13.3</v>
      </c>
      <c r="D5" s="7">
        <v>-13.7</v>
      </c>
      <c r="E5" s="7">
        <v>-13.7</v>
      </c>
      <c r="F5" s="7">
        <v>-12.8</v>
      </c>
      <c r="G5" s="7">
        <v>-12.5</v>
      </c>
      <c r="H5" s="98">
        <f>AVERAGE(C5:G5)</f>
        <v>-13.2</v>
      </c>
      <c r="I5" s="99">
        <f>STDEV(C5:G5)</f>
        <v>0.53851648071344993</v>
      </c>
      <c r="J5" s="99">
        <v>3.78</v>
      </c>
      <c r="K5" s="99">
        <v>3.78</v>
      </c>
      <c r="L5" s="99">
        <v>3.95</v>
      </c>
      <c r="M5" s="99">
        <v>3.76</v>
      </c>
      <c r="N5" s="99">
        <v>3.57</v>
      </c>
      <c r="O5" s="99">
        <f t="shared" si="0"/>
        <v>3.7679999999999998</v>
      </c>
      <c r="P5" s="99">
        <f t="shared" si="1"/>
        <v>0.13479614237803705</v>
      </c>
      <c r="Q5" s="97"/>
      <c r="R5" s="97"/>
    </row>
    <row r="6" spans="1:18" x14ac:dyDescent="0.25">
      <c r="A6" s="17" t="s">
        <v>126</v>
      </c>
      <c r="B6" s="8">
        <v>50</v>
      </c>
      <c r="C6" s="10">
        <v>-13.6</v>
      </c>
      <c r="D6" s="10">
        <v>-12.8</v>
      </c>
      <c r="E6" s="10">
        <v>-12.6</v>
      </c>
      <c r="F6" s="10">
        <v>-12.9</v>
      </c>
      <c r="G6" s="10">
        <v>-11.9</v>
      </c>
      <c r="H6" s="98">
        <f>AVERAGE(C6:G6)</f>
        <v>-12.76</v>
      </c>
      <c r="I6" s="99">
        <f>STDEV(C6:G6)</f>
        <v>0.61073725938409862</v>
      </c>
      <c r="J6" s="99">
        <v>3.75</v>
      </c>
      <c r="K6" s="99">
        <v>3.78</v>
      </c>
      <c r="L6" s="99">
        <v>3.97</v>
      </c>
      <c r="M6" s="99">
        <v>3.76</v>
      </c>
      <c r="N6" s="99">
        <v>3.67</v>
      </c>
      <c r="O6" s="99">
        <f t="shared" si="0"/>
        <v>3.786</v>
      </c>
      <c r="P6" s="99">
        <f t="shared" si="1"/>
        <v>0.11104053313993059</v>
      </c>
      <c r="Q6" s="97"/>
      <c r="R6" s="97"/>
    </row>
    <row r="7" spans="1:18" x14ac:dyDescent="0.25">
      <c r="A7" s="17" t="s">
        <v>126</v>
      </c>
      <c r="B7" s="8">
        <v>100</v>
      </c>
      <c r="C7" s="7">
        <v>-12.1</v>
      </c>
      <c r="D7" s="7">
        <v>-12.7</v>
      </c>
      <c r="E7" s="7">
        <v>-11.5</v>
      </c>
      <c r="F7" s="7">
        <v>-13.1</v>
      </c>
      <c r="G7" s="7">
        <v>-12.8</v>
      </c>
      <c r="H7" s="98">
        <f>AVERAGE(C7:G7)</f>
        <v>-12.440000000000001</v>
      </c>
      <c r="I7" s="98">
        <f>STDEV(C7:G7)</f>
        <v>0.63874877690685239</v>
      </c>
      <c r="J7" s="99">
        <v>3.75</v>
      </c>
      <c r="K7" s="99">
        <v>3.78</v>
      </c>
      <c r="L7" s="99">
        <v>3.52</v>
      </c>
      <c r="M7" s="99">
        <v>3.76</v>
      </c>
      <c r="N7" s="99">
        <v>3.67</v>
      </c>
      <c r="O7" s="99">
        <f t="shared" si="0"/>
        <v>3.6959999999999993</v>
      </c>
      <c r="P7" s="99">
        <f t="shared" si="1"/>
        <v>0.1069111780872327</v>
      </c>
      <c r="Q7" s="97"/>
      <c r="R7" s="97"/>
    </row>
    <row r="8" spans="1:18" x14ac:dyDescent="0.25"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</row>
    <row r="9" spans="1:18" x14ac:dyDescent="0.25"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</row>
    <row r="15" spans="1:18" ht="18.75" x14ac:dyDescent="0.3">
      <c r="J15" s="107"/>
      <c r="K15" s="107"/>
    </row>
  </sheetData>
  <mergeCells count="2">
    <mergeCell ref="J15:K15"/>
    <mergeCell ref="A1:C1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O12" sqref="O12"/>
    </sheetView>
  </sheetViews>
  <sheetFormatPr baseColWidth="10" defaultRowHeight="15" x14ac:dyDescent="0.25"/>
  <cols>
    <col min="1" max="1" width="4.5703125" bestFit="1" customWidth="1"/>
    <col min="2" max="2" width="7.7109375" bestFit="1" customWidth="1"/>
    <col min="3" max="3" width="3.42578125" customWidth="1"/>
    <col min="4" max="4" width="7.85546875" bestFit="1" customWidth="1"/>
    <col min="5" max="5" width="7.42578125" bestFit="1" customWidth="1"/>
    <col min="6" max="6" width="5.5703125" bestFit="1" customWidth="1"/>
    <col min="7" max="7" width="4.5703125" bestFit="1" customWidth="1"/>
    <col min="8" max="9" width="7.5703125" style="4" bestFit="1" customWidth="1"/>
    <col min="10" max="11" width="4.5703125" bestFit="1" customWidth="1"/>
    <col min="12" max="12" width="3.140625" customWidth="1"/>
    <col min="13" max="13" width="7.85546875" bestFit="1" customWidth="1"/>
    <col min="14" max="14" width="7.42578125" bestFit="1" customWidth="1"/>
    <col min="15" max="15" width="5.5703125" bestFit="1" customWidth="1"/>
    <col min="16" max="16" width="4.5703125" bestFit="1" customWidth="1"/>
    <col min="17" max="17" width="7.5703125" bestFit="1" customWidth="1"/>
    <col min="18" max="18" width="7.5703125" style="4" bestFit="1" customWidth="1"/>
    <col min="19" max="19" width="4.5703125" style="4" bestFit="1" customWidth="1"/>
    <col min="20" max="20" width="4.5703125" bestFit="1" customWidth="1"/>
  </cols>
  <sheetData>
    <row r="1" spans="1:23" x14ac:dyDescent="0.25">
      <c r="D1" s="100" t="s">
        <v>15</v>
      </c>
      <c r="E1" s="101"/>
      <c r="F1" s="101"/>
      <c r="G1" s="100"/>
      <c r="H1" s="100"/>
      <c r="I1" s="100"/>
      <c r="J1" s="100"/>
      <c r="K1" s="100"/>
      <c r="L1" s="8"/>
      <c r="M1" s="100" t="s">
        <v>7</v>
      </c>
      <c r="N1" s="101"/>
      <c r="O1" s="101"/>
      <c r="P1" s="100"/>
      <c r="Q1" s="101"/>
      <c r="R1" s="100"/>
      <c r="S1" s="103"/>
      <c r="T1" s="100"/>
      <c r="U1" s="8"/>
      <c r="V1" s="8"/>
      <c r="W1" s="8"/>
    </row>
    <row r="2" spans="1:23" x14ac:dyDescent="0.25">
      <c r="B2" s="106" t="s">
        <v>19</v>
      </c>
      <c r="D2" s="100" t="s">
        <v>17</v>
      </c>
      <c r="E2" s="100" t="s">
        <v>18</v>
      </c>
      <c r="F2" s="102" t="s">
        <v>2</v>
      </c>
      <c r="G2" s="100" t="s">
        <v>3</v>
      </c>
      <c r="H2" s="103" t="s">
        <v>75</v>
      </c>
      <c r="I2" s="103" t="s">
        <v>3</v>
      </c>
      <c r="J2" s="104" t="s">
        <v>4</v>
      </c>
      <c r="K2" s="100" t="s">
        <v>3</v>
      </c>
      <c r="L2" s="8"/>
      <c r="M2" s="100" t="s">
        <v>17</v>
      </c>
      <c r="N2" s="100" t="s">
        <v>18</v>
      </c>
      <c r="O2" s="100" t="s">
        <v>2</v>
      </c>
      <c r="P2" s="100" t="s">
        <v>3</v>
      </c>
      <c r="Q2" s="103" t="s">
        <v>75</v>
      </c>
      <c r="R2" s="103" t="s">
        <v>14</v>
      </c>
      <c r="S2" s="100" t="s">
        <v>4</v>
      </c>
      <c r="T2" s="100" t="s">
        <v>3</v>
      </c>
      <c r="U2" s="8"/>
    </row>
    <row r="3" spans="1:23" x14ac:dyDescent="0.25">
      <c r="A3" t="s">
        <v>6</v>
      </c>
      <c r="B3" s="15">
        <v>5.17</v>
      </c>
      <c r="C3" s="15"/>
      <c r="D3" s="15">
        <v>0.91045434718979146</v>
      </c>
      <c r="E3" s="15">
        <v>5.2792191193028257</v>
      </c>
      <c r="F3" s="10">
        <f t="shared" ref="F3:F10" si="0">100*(1-D3/B3)</f>
        <v>82.389664464414096</v>
      </c>
      <c r="G3" s="10">
        <v>1.3</v>
      </c>
      <c r="H3" s="95">
        <f t="shared" ref="H3:H10" si="1">D3/E3</f>
        <v>0.17246004127027525</v>
      </c>
      <c r="I3" s="95">
        <f>0.01151</f>
        <v>1.1509999999999999E-2</v>
      </c>
      <c r="J3" s="8"/>
      <c r="K3" s="8"/>
      <c r="L3" s="8"/>
      <c r="M3" s="15">
        <v>1.5998433125088998</v>
      </c>
      <c r="N3" s="15">
        <v>5.2615424791664385</v>
      </c>
      <c r="O3" s="10">
        <f t="shared" ref="O3:O10" si="2">100*(1-M3/B3)</f>
        <v>69.055255077197302</v>
      </c>
      <c r="P3" s="10">
        <v>1.30017</v>
      </c>
      <c r="Q3" s="95">
        <f t="shared" ref="Q3:Q10" si="3">M3/N3</f>
        <v>0.30406355528699552</v>
      </c>
      <c r="R3" s="95">
        <v>8.0700000000000008E-3</v>
      </c>
      <c r="S3" s="5"/>
      <c r="T3" s="11"/>
      <c r="U3" s="10"/>
    </row>
    <row r="4" spans="1:23" x14ac:dyDescent="0.25">
      <c r="A4" t="s">
        <v>5</v>
      </c>
      <c r="B4" s="15">
        <v>0.32400000000000001</v>
      </c>
      <c r="C4" s="15"/>
      <c r="D4" s="15">
        <v>0.31530350847974004</v>
      </c>
      <c r="E4" s="15">
        <v>0.32422298696205804</v>
      </c>
      <c r="F4" s="10">
        <f t="shared" si="0"/>
        <v>2.6841023210678938</v>
      </c>
      <c r="G4" s="10">
        <v>1.5289999999999999</v>
      </c>
      <c r="H4" s="95">
        <f t="shared" si="1"/>
        <v>0.97248967889077587</v>
      </c>
      <c r="I4" s="95">
        <v>2.087E-2</v>
      </c>
      <c r="J4" s="10">
        <f t="shared" ref="J4:J10" si="4">H4/H$3</f>
        <v>5.6389275552051696</v>
      </c>
      <c r="K4" s="10">
        <v>0.18293000000000001</v>
      </c>
      <c r="L4" s="10"/>
      <c r="M4" s="15">
        <v>0.32056560000000001</v>
      </c>
      <c r="N4" s="15">
        <v>0.32408806153846159</v>
      </c>
      <c r="O4" s="10">
        <f t="shared" si="2"/>
        <v>1.0600000000000054</v>
      </c>
      <c r="P4" s="10">
        <v>0.99583999999999995</v>
      </c>
      <c r="Q4" s="95">
        <f t="shared" si="3"/>
        <v>0.98913115922339045</v>
      </c>
      <c r="R4" s="95">
        <v>2.0959999999999999E-2</v>
      </c>
      <c r="S4" s="10">
        <f t="shared" ref="S4:S10" si="5">Q4/Q$3</f>
        <v>3.2530408265791086</v>
      </c>
      <c r="T4" s="10">
        <v>0.19045999999999999</v>
      </c>
      <c r="U4" s="10"/>
    </row>
    <row r="5" spans="1:23" x14ac:dyDescent="0.25">
      <c r="A5" t="s">
        <v>9</v>
      </c>
      <c r="B5" s="15">
        <v>0.09</v>
      </c>
      <c r="C5" s="15"/>
      <c r="D5" s="15">
        <v>8.8786830120040378E-2</v>
      </c>
      <c r="E5" s="15">
        <v>9.0031106919998966E-2</v>
      </c>
      <c r="F5" s="10">
        <f t="shared" si="0"/>
        <v>1.3479665332884694</v>
      </c>
      <c r="G5" s="10">
        <v>0.68611</v>
      </c>
      <c r="H5" s="95">
        <f t="shared" si="1"/>
        <v>0.98617947904312397</v>
      </c>
      <c r="I5" s="95">
        <v>8.7100000000000007E-3</v>
      </c>
      <c r="J5" s="10">
        <f t="shared" si="4"/>
        <v>5.7183071033689892</v>
      </c>
      <c r="K5" s="10">
        <v>0.12784000000000001</v>
      </c>
      <c r="L5" s="10"/>
      <c r="M5" s="15">
        <v>8.7828388115905473E-2</v>
      </c>
      <c r="N5" s="15">
        <v>9.0055682356002448E-2</v>
      </c>
      <c r="O5" s="10">
        <f t="shared" si="2"/>
        <v>2.4129020934383627</v>
      </c>
      <c r="P5" s="10">
        <v>1.51973</v>
      </c>
      <c r="Q5" s="95">
        <f t="shared" si="3"/>
        <v>0.97526758798748336</v>
      </c>
      <c r="R5" s="95">
        <v>1.308E-2</v>
      </c>
      <c r="S5" s="10">
        <f t="shared" si="5"/>
        <v>3.2074465059351178</v>
      </c>
      <c r="T5" s="10">
        <v>0.12171</v>
      </c>
      <c r="U5" s="10"/>
    </row>
    <row r="6" spans="1:23" x14ac:dyDescent="0.25">
      <c r="A6" t="s">
        <v>10</v>
      </c>
      <c r="B6" s="15">
        <v>0.29599999999999999</v>
      </c>
      <c r="C6" s="15"/>
      <c r="D6" s="15">
        <v>0.29046580251944842</v>
      </c>
      <c r="E6" s="15">
        <v>0.29614190249950129</v>
      </c>
      <c r="F6" s="10">
        <f t="shared" si="0"/>
        <v>1.8696613109971505</v>
      </c>
      <c r="G6" s="10">
        <v>1.2298800000000001</v>
      </c>
      <c r="H6" s="95">
        <f t="shared" si="1"/>
        <v>0.9808331751361582</v>
      </c>
      <c r="I6" s="95">
        <v>4.0249999999999999E-3</v>
      </c>
      <c r="J6" s="10">
        <f t="shared" si="4"/>
        <v>5.6873068561952849</v>
      </c>
      <c r="K6" s="10">
        <v>7.1590000000000001E-2</v>
      </c>
      <c r="L6" s="10"/>
      <c r="M6" s="15">
        <v>0.29427427829339947</v>
      </c>
      <c r="N6" s="15">
        <v>0.29604424927452822</v>
      </c>
      <c r="O6" s="10">
        <f t="shared" si="2"/>
        <v>0.58301409006774607</v>
      </c>
      <c r="P6" s="10">
        <v>1.96295</v>
      </c>
      <c r="Q6" s="95">
        <f t="shared" si="3"/>
        <v>0.99402126207326724</v>
      </c>
      <c r="R6" s="95">
        <v>1.0059999999999999E-2</v>
      </c>
      <c r="S6" s="10">
        <f t="shared" si="5"/>
        <v>3.2691233289535258</v>
      </c>
      <c r="T6" s="10">
        <v>0.21881999999999999</v>
      </c>
      <c r="U6" s="10"/>
    </row>
    <row r="7" spans="1:23" x14ac:dyDescent="0.25">
      <c r="A7" t="s">
        <v>11</v>
      </c>
      <c r="B7" s="15">
        <v>0.188</v>
      </c>
      <c r="C7" s="15"/>
      <c r="D7" s="15">
        <v>0.18567930161934498</v>
      </c>
      <c r="E7" s="15">
        <v>0.18805950508668345</v>
      </c>
      <c r="F7" s="10">
        <f t="shared" si="0"/>
        <v>1.234414032263309</v>
      </c>
      <c r="G7" s="10">
        <v>0.68689</v>
      </c>
      <c r="H7" s="95">
        <f t="shared" si="1"/>
        <v>0.98734334929658918</v>
      </c>
      <c r="I7" s="95">
        <v>7.0010000000000003E-3</v>
      </c>
      <c r="J7" s="10">
        <f t="shared" si="4"/>
        <v>5.7250557405889069</v>
      </c>
      <c r="K7" s="10">
        <v>0.12811</v>
      </c>
      <c r="L7" s="10"/>
      <c r="M7" s="15">
        <v>0.18555491091012316</v>
      </c>
      <c r="N7" s="15">
        <v>0.18806269459204811</v>
      </c>
      <c r="O7" s="10">
        <f t="shared" si="2"/>
        <v>1.3005793031259816</v>
      </c>
      <c r="P7" s="10">
        <v>1.04535</v>
      </c>
      <c r="Q7" s="95">
        <f t="shared" si="3"/>
        <v>0.98666517201954962</v>
      </c>
      <c r="R7" s="95">
        <v>1.413E-2</v>
      </c>
      <c r="S7" s="10">
        <f t="shared" si="5"/>
        <v>3.2449307220928501</v>
      </c>
      <c r="T7" s="10">
        <v>0.11867</v>
      </c>
      <c r="U7" s="10"/>
    </row>
    <row r="8" spans="1:23" x14ac:dyDescent="0.25">
      <c r="A8" t="s">
        <v>12</v>
      </c>
      <c r="B8" s="15">
        <v>0.124</v>
      </c>
      <c r="C8" s="15"/>
      <c r="D8" s="15">
        <v>0.12144615118251327</v>
      </c>
      <c r="E8" s="15">
        <v>0.12406548330301249</v>
      </c>
      <c r="F8" s="10">
        <f t="shared" si="0"/>
        <v>2.0595554979731645</v>
      </c>
      <c r="G8" s="10">
        <v>0.184224</v>
      </c>
      <c r="H8" s="95">
        <f t="shared" si="1"/>
        <v>0.97888750318973183</v>
      </c>
      <c r="I8" s="95">
        <v>9.8600000000000007E-3</v>
      </c>
      <c r="J8" s="10">
        <f t="shared" si="4"/>
        <v>5.6760249851479667</v>
      </c>
      <c r="K8" s="10">
        <v>0.17799000000000001</v>
      </c>
      <c r="L8" s="10"/>
      <c r="M8" s="15">
        <v>0.12351374739452266</v>
      </c>
      <c r="N8" s="15">
        <v>0.12401246801552507</v>
      </c>
      <c r="O8" s="10">
        <f t="shared" si="2"/>
        <v>0.39213919796560193</v>
      </c>
      <c r="P8" s="10">
        <v>0.50000999999999995</v>
      </c>
      <c r="Q8" s="95">
        <f t="shared" si="3"/>
        <v>0.99597846386752031</v>
      </c>
      <c r="R8" s="95">
        <v>4.8300000000000001E-3</v>
      </c>
      <c r="S8" s="10">
        <f t="shared" si="5"/>
        <v>3.2755601470470515</v>
      </c>
      <c r="T8" s="10">
        <v>0.15601999999999999</v>
      </c>
      <c r="U8" s="10"/>
    </row>
    <row r="9" spans="1:23" x14ac:dyDescent="0.25">
      <c r="A9" t="s">
        <v>0</v>
      </c>
      <c r="B9" s="15">
        <v>0.47</v>
      </c>
      <c r="C9" s="15"/>
      <c r="D9" s="15">
        <v>0.45447164604170259</v>
      </c>
      <c r="E9" s="15">
        <v>0.47039816292200759</v>
      </c>
      <c r="F9" s="10">
        <f t="shared" si="0"/>
        <v>3.3039050975100848</v>
      </c>
      <c r="G9" s="10">
        <v>1.18638</v>
      </c>
      <c r="H9" s="95">
        <f t="shared" si="1"/>
        <v>0.96614247644724405</v>
      </c>
      <c r="I9" s="95">
        <v>1.976E-2</v>
      </c>
      <c r="J9" s="10">
        <f t="shared" si="4"/>
        <v>5.6021236532880598</v>
      </c>
      <c r="K9" s="10">
        <v>0.12198000000000001</v>
      </c>
      <c r="L9" s="10"/>
      <c r="M9" s="15">
        <v>0.46033385466467019</v>
      </c>
      <c r="N9" s="15">
        <v>0.47024784988039303</v>
      </c>
      <c r="O9" s="10">
        <f t="shared" si="2"/>
        <v>2.0566266670914435</v>
      </c>
      <c r="P9" s="10">
        <v>0.60214000000000001</v>
      </c>
      <c r="Q9" s="95">
        <f t="shared" si="3"/>
        <v>0.97891751080149658</v>
      </c>
      <c r="R9" s="95">
        <v>7.8560000000000001E-3</v>
      </c>
      <c r="S9" s="10">
        <f t="shared" si="5"/>
        <v>3.2194503214222063</v>
      </c>
      <c r="T9" s="10">
        <v>6.2449999999999999E-2</v>
      </c>
      <c r="U9" s="10"/>
    </row>
    <row r="10" spans="1:23" x14ac:dyDescent="0.25">
      <c r="A10" t="s">
        <v>1</v>
      </c>
      <c r="B10" s="15">
        <v>0.12</v>
      </c>
      <c r="C10" s="15"/>
      <c r="D10" s="15">
        <v>0.11851918640573519</v>
      </c>
      <c r="E10" s="15">
        <v>0.12003796957934011</v>
      </c>
      <c r="F10" s="10">
        <f t="shared" si="0"/>
        <v>1.2340113285539966</v>
      </c>
      <c r="G10" s="10">
        <v>0.71004900000000004</v>
      </c>
      <c r="H10" s="95">
        <f t="shared" si="1"/>
        <v>0.98734747697809844</v>
      </c>
      <c r="I10" s="95">
        <v>4.5999999999999999E-3</v>
      </c>
      <c r="J10" s="10">
        <f t="shared" si="4"/>
        <v>5.7250796747215844</v>
      </c>
      <c r="K10" s="10">
        <v>0.19622999999999999</v>
      </c>
      <c r="L10" s="10"/>
      <c r="M10" s="15">
        <v>0.11810759900432551</v>
      </c>
      <c r="N10" s="15">
        <v>0.12004852310245318</v>
      </c>
      <c r="O10" s="10">
        <f t="shared" si="2"/>
        <v>1.5770008297287363</v>
      </c>
      <c r="P10" s="10">
        <v>1.2060299999999999</v>
      </c>
      <c r="Q10" s="95">
        <f t="shared" si="3"/>
        <v>0.98383217012614788</v>
      </c>
      <c r="R10" s="95">
        <v>1.1979999999999999E-2</v>
      </c>
      <c r="S10" s="10">
        <f t="shared" si="5"/>
        <v>3.2356135847899998</v>
      </c>
      <c r="T10" s="10">
        <v>0.19614999999999999</v>
      </c>
      <c r="U10" s="10"/>
    </row>
    <row r="11" spans="1:23" s="3" customFormat="1" x14ac:dyDescent="0.25">
      <c r="B11" s="6"/>
      <c r="C11" s="6"/>
      <c r="D11" s="5"/>
      <c r="E11" s="5"/>
      <c r="F11" s="10"/>
      <c r="G11" s="10"/>
      <c r="H11" s="5"/>
      <c r="I11" s="5"/>
      <c r="J11" s="10"/>
      <c r="K11" s="10"/>
      <c r="L11" s="10"/>
      <c r="M11" s="10"/>
      <c r="O11" s="10"/>
      <c r="P11" s="10"/>
      <c r="Q11" s="5"/>
      <c r="R11" s="15"/>
      <c r="S11" s="5"/>
      <c r="T11" s="5"/>
      <c r="U11" s="10"/>
      <c r="V11" s="10"/>
      <c r="W11" s="12"/>
    </row>
    <row r="12" spans="1:23" s="3" customFormat="1" x14ac:dyDescent="0.25">
      <c r="B12" s="6"/>
      <c r="C12" s="6"/>
      <c r="D12" s="5"/>
      <c r="E12" s="5"/>
      <c r="F12" s="10"/>
      <c r="G12" s="10"/>
      <c r="H12" s="5"/>
      <c r="I12" s="5"/>
      <c r="J12" s="10"/>
      <c r="K12" s="10"/>
      <c r="L12" s="10"/>
      <c r="M12" s="10"/>
      <c r="O12" s="10"/>
      <c r="P12" s="7"/>
      <c r="Q12" s="5"/>
      <c r="R12" s="15"/>
      <c r="S12" s="5"/>
      <c r="T12" s="5"/>
      <c r="U12" s="10"/>
      <c r="V12" s="10"/>
      <c r="W12" s="12"/>
    </row>
    <row r="13" spans="1:23" x14ac:dyDescent="0.25">
      <c r="B13" s="7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O13" s="8"/>
      <c r="P13" s="8"/>
      <c r="Q13" s="8"/>
      <c r="R13" s="15"/>
      <c r="S13" s="8"/>
      <c r="T13" s="8"/>
      <c r="U13" s="8"/>
      <c r="V13" s="8"/>
      <c r="W13" s="8"/>
    </row>
    <row r="14" spans="1:23" x14ac:dyDescent="0.25">
      <c r="B14" s="7"/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O14" s="8"/>
      <c r="P14" s="8"/>
      <c r="Q14" s="8"/>
      <c r="R14" s="15"/>
      <c r="S14" s="8"/>
      <c r="T14" s="8"/>
      <c r="U14" s="8"/>
      <c r="V14" s="8"/>
      <c r="W14" s="8"/>
    </row>
    <row r="15" spans="1:23" x14ac:dyDescent="0.25">
      <c r="D15" s="8"/>
      <c r="E15" s="8"/>
      <c r="F15" s="8"/>
      <c r="G15" s="8"/>
      <c r="H15" s="8"/>
      <c r="I15" s="8"/>
      <c r="J15" s="8"/>
      <c r="K15" s="8"/>
      <c r="L15" s="8"/>
      <c r="M15" s="8"/>
      <c r="O15" s="8"/>
      <c r="P15" s="8"/>
      <c r="Q15" s="8"/>
      <c r="R15" s="15"/>
      <c r="S15" s="8"/>
      <c r="T15" s="8"/>
      <c r="U15" s="8"/>
      <c r="V15" s="8"/>
      <c r="W15" s="8"/>
    </row>
    <row r="16" spans="1:23" x14ac:dyDescent="0.25">
      <c r="D16" s="100" t="s">
        <v>16</v>
      </c>
      <c r="E16" s="100"/>
      <c r="F16" s="101"/>
      <c r="G16" s="100"/>
      <c r="H16" s="100"/>
      <c r="I16" s="100"/>
      <c r="J16" s="100"/>
      <c r="K16" s="100"/>
      <c r="L16" s="8"/>
      <c r="M16" s="100" t="s">
        <v>8</v>
      </c>
      <c r="N16" s="100"/>
      <c r="O16" s="100"/>
      <c r="P16" s="105"/>
      <c r="Q16" s="100"/>
      <c r="R16" s="100"/>
      <c r="S16" s="100"/>
      <c r="T16" s="100"/>
      <c r="U16" s="8"/>
    </row>
    <row r="17" spans="1:24" x14ac:dyDescent="0.25">
      <c r="B17" t="s">
        <v>19</v>
      </c>
      <c r="D17" s="100" t="s">
        <v>13</v>
      </c>
      <c r="E17" s="100" t="s">
        <v>18</v>
      </c>
      <c r="F17" s="102" t="s">
        <v>2</v>
      </c>
      <c r="G17" s="100" t="s">
        <v>3</v>
      </c>
      <c r="H17" s="100" t="s">
        <v>75</v>
      </c>
      <c r="I17" s="100" t="s">
        <v>3</v>
      </c>
      <c r="J17" s="104" t="s">
        <v>4</v>
      </c>
      <c r="K17" s="100" t="s">
        <v>3</v>
      </c>
      <c r="L17" s="8"/>
      <c r="M17" s="100" t="s">
        <v>17</v>
      </c>
      <c r="N17" s="100" t="s">
        <v>18</v>
      </c>
      <c r="O17" s="100" t="s">
        <v>2</v>
      </c>
      <c r="P17" s="100" t="s">
        <v>3</v>
      </c>
      <c r="Q17" s="105" t="s">
        <v>75</v>
      </c>
      <c r="R17" s="100" t="s">
        <v>14</v>
      </c>
      <c r="S17" s="100" t="s">
        <v>4</v>
      </c>
      <c r="T17" s="100" t="s">
        <v>3</v>
      </c>
      <c r="U17" s="8"/>
    </row>
    <row r="18" spans="1:24" x14ac:dyDescent="0.25">
      <c r="A18" t="s">
        <v>6</v>
      </c>
      <c r="B18" s="15">
        <f t="shared" ref="B18:B25" si="6">B3</f>
        <v>5.17</v>
      </c>
      <c r="C18" s="15"/>
      <c r="D18" s="15">
        <v>2.337590933689234</v>
      </c>
      <c r="E18" s="15">
        <v>5.2426258734951485</v>
      </c>
      <c r="F18" s="10">
        <f t="shared" ref="F18:F25" si="7">100*(1-D18/B18)</f>
        <v>54.785475170421009</v>
      </c>
      <c r="G18" s="10">
        <v>1.8000100000000001</v>
      </c>
      <c r="H18" s="95">
        <f t="shared" ref="H18:H25" si="8">D18/E18</f>
        <v>0.44588169938031669</v>
      </c>
      <c r="I18" s="95">
        <v>1.001E-2</v>
      </c>
      <c r="J18" s="8"/>
      <c r="K18" s="8"/>
      <c r="L18" s="8"/>
      <c r="M18" s="15">
        <v>2.52951622594817</v>
      </c>
      <c r="N18" s="15">
        <v>5.2377047121551747</v>
      </c>
      <c r="O18" s="10">
        <f t="shared" ref="O18:O25" si="9">100*(1-M18/B18)</f>
        <v>51.073187118990916</v>
      </c>
      <c r="P18" s="10">
        <v>1.2010400000000001</v>
      </c>
      <c r="Q18" s="95">
        <f t="shared" ref="Q18:Q25" si="10">M18/N18</f>
        <v>0.4829436489762215</v>
      </c>
      <c r="R18" s="95">
        <v>0.02</v>
      </c>
      <c r="S18" s="8"/>
      <c r="T18" s="8"/>
      <c r="U18" s="10"/>
    </row>
    <row r="19" spans="1:24" x14ac:dyDescent="0.25">
      <c r="A19" t="s">
        <v>5</v>
      </c>
      <c r="B19" s="15">
        <f t="shared" si="6"/>
        <v>0.32400000000000001</v>
      </c>
      <c r="C19" s="15"/>
      <c r="D19" s="15">
        <v>0.3166776</v>
      </c>
      <c r="E19" s="15">
        <v>0.32418775384615384</v>
      </c>
      <c r="F19" s="10">
        <f t="shared" si="7"/>
        <v>2.2600000000000064</v>
      </c>
      <c r="G19" s="10">
        <v>1.0000100000000001</v>
      </c>
      <c r="H19" s="95">
        <f t="shared" si="8"/>
        <v>0.97683393725687173</v>
      </c>
      <c r="I19" s="95">
        <v>1.435E-2</v>
      </c>
      <c r="J19" s="10">
        <f t="shared" ref="J19:J25" si="11">H19/H$18</f>
        <v>2.1907917248329967</v>
      </c>
      <c r="K19" s="10">
        <v>9.5332E-2</v>
      </c>
      <c r="L19" s="10"/>
      <c r="M19" s="15">
        <v>0.32354341748755971</v>
      </c>
      <c r="N19" s="15">
        <v>0.32401170724390876</v>
      </c>
      <c r="O19" s="10">
        <f t="shared" si="9"/>
        <v>0.14092052853095227</v>
      </c>
      <c r="P19" s="10">
        <v>0.70694000000000001</v>
      </c>
      <c r="Q19" s="95">
        <f t="shared" si="10"/>
        <v>0.99855471346905211</v>
      </c>
      <c r="R19" s="95">
        <v>6.3899999999999998E-3</v>
      </c>
      <c r="S19" s="10">
        <f t="shared" ref="S19:S25" si="12">Q19/Q$18</f>
        <v>2.0676422923996616</v>
      </c>
      <c r="T19" s="10">
        <v>0.1</v>
      </c>
      <c r="U19" s="10"/>
    </row>
    <row r="20" spans="1:24" x14ac:dyDescent="0.25">
      <c r="A20" t="s">
        <v>9</v>
      </c>
      <c r="B20" s="15">
        <f t="shared" si="6"/>
        <v>0.09</v>
      </c>
      <c r="C20" s="15"/>
      <c r="D20" s="15">
        <v>8.7776648874837521E-2</v>
      </c>
      <c r="E20" s="15">
        <v>9.0057009003209301E-2</v>
      </c>
      <c r="F20" s="10">
        <f t="shared" si="7"/>
        <v>2.4703901390694227</v>
      </c>
      <c r="G20" s="10">
        <v>1.6028100000000001</v>
      </c>
      <c r="H20" s="95">
        <f t="shared" si="8"/>
        <v>0.97467870459376993</v>
      </c>
      <c r="I20" s="95">
        <v>7.5859999999999999E-3</v>
      </c>
      <c r="J20" s="10">
        <f t="shared" si="11"/>
        <v>2.1859580824877352</v>
      </c>
      <c r="K20" s="10">
        <v>8.4440000000000001E-2</v>
      </c>
      <c r="L20" s="10"/>
      <c r="M20" s="15">
        <v>8.9055299563051638E-2</v>
      </c>
      <c r="N20" s="15">
        <v>9.0024223088126881E-2</v>
      </c>
      <c r="O20" s="10">
        <f t="shared" si="9"/>
        <v>1.049667152164846</v>
      </c>
      <c r="P20" s="10">
        <v>1.1132</v>
      </c>
      <c r="Q20" s="95">
        <f t="shared" si="10"/>
        <v>0.98923707984542408</v>
      </c>
      <c r="R20" s="95">
        <v>7.8700000000000003E-3</v>
      </c>
      <c r="S20" s="10">
        <f t="shared" si="12"/>
        <v>2.0483488745373908</v>
      </c>
      <c r="T20" s="10">
        <v>0.13617000000000001</v>
      </c>
      <c r="U20" s="10"/>
    </row>
    <row r="21" spans="1:24" x14ac:dyDescent="0.25">
      <c r="A21" t="s">
        <v>10</v>
      </c>
      <c r="B21" s="15">
        <f t="shared" si="6"/>
        <v>0.29599999999999999</v>
      </c>
      <c r="C21" s="15"/>
      <c r="D21" s="15">
        <v>0.29274105144411405</v>
      </c>
      <c r="E21" s="15">
        <v>0.29608356278348424</v>
      </c>
      <c r="F21" s="10">
        <f t="shared" si="7"/>
        <v>1.1009961337452467</v>
      </c>
      <c r="G21" s="10">
        <v>1.55762</v>
      </c>
      <c r="H21" s="95">
        <f t="shared" si="8"/>
        <v>0.98871091894481677</v>
      </c>
      <c r="I21" s="95">
        <v>2.4039999999999999E-2</v>
      </c>
      <c r="J21" s="10">
        <f t="shared" si="11"/>
        <v>2.2174287940476596</v>
      </c>
      <c r="K21" s="10">
        <v>6.4610000000000001E-2</v>
      </c>
      <c r="L21" s="10"/>
      <c r="M21" s="15">
        <v>0.29370018282536464</v>
      </c>
      <c r="N21" s="15">
        <v>0.29605896967114453</v>
      </c>
      <c r="O21" s="10">
        <f t="shared" si="9"/>
        <v>0.77696526170113467</v>
      </c>
      <c r="P21" s="10">
        <v>0.85221999999999998</v>
      </c>
      <c r="Q21" s="95">
        <f t="shared" si="10"/>
        <v>0.992032712778809</v>
      </c>
      <c r="R21" s="95">
        <v>7.1500000000000001E-3</v>
      </c>
      <c r="S21" s="10">
        <f t="shared" si="12"/>
        <v>2.0541376098055975</v>
      </c>
      <c r="T21" s="10">
        <v>7.5289999999999996E-2</v>
      </c>
      <c r="U21" s="10"/>
    </row>
    <row r="22" spans="1:24" x14ac:dyDescent="0.25">
      <c r="A22" t="s">
        <v>11</v>
      </c>
      <c r="B22" s="15">
        <f t="shared" si="6"/>
        <v>0.188</v>
      </c>
      <c r="C22" s="15"/>
      <c r="D22" s="15">
        <v>0.18579916639567898</v>
      </c>
      <c r="E22" s="15">
        <v>0.18805643163088004</v>
      </c>
      <c r="F22" s="10">
        <f t="shared" si="7"/>
        <v>1.1706561725111864</v>
      </c>
      <c r="G22" s="10">
        <v>1.0699099999999999</v>
      </c>
      <c r="H22" s="95">
        <f t="shared" si="8"/>
        <v>0.98799687298314975</v>
      </c>
      <c r="I22" s="95">
        <v>7.3010000000000002E-3</v>
      </c>
      <c r="J22" s="10">
        <f t="shared" si="11"/>
        <v>2.2158273693588701</v>
      </c>
      <c r="K22" s="10">
        <v>9.2310000000000003E-2</v>
      </c>
      <c r="L22" s="10"/>
      <c r="M22" s="15">
        <v>0.18634629234000116</v>
      </c>
      <c r="N22" s="15">
        <v>0.18804240276051284</v>
      </c>
      <c r="O22" s="10">
        <f t="shared" si="9"/>
        <v>0.87963173404193018</v>
      </c>
      <c r="P22" s="10">
        <v>1.36433</v>
      </c>
      <c r="Q22" s="95">
        <f t="shared" si="10"/>
        <v>0.99098017045298126</v>
      </c>
      <c r="R22" s="95">
        <v>6.8900000000000003E-3</v>
      </c>
      <c r="S22" s="10">
        <f t="shared" si="12"/>
        <v>2.0519581788760073</v>
      </c>
      <c r="T22" s="10">
        <v>0.1</v>
      </c>
      <c r="U22" s="10"/>
    </row>
    <row r="23" spans="1:24" x14ac:dyDescent="0.25">
      <c r="A23" t="s">
        <v>12</v>
      </c>
      <c r="B23" s="15">
        <f t="shared" si="6"/>
        <v>0.124</v>
      </c>
      <c r="C23" s="15"/>
      <c r="D23" s="15">
        <v>0.12265248539092931</v>
      </c>
      <c r="E23" s="15">
        <v>0.12403455165664286</v>
      </c>
      <c r="F23" s="10">
        <f t="shared" si="7"/>
        <v>1.0867053298957208</v>
      </c>
      <c r="G23" s="10">
        <v>0.90283400000000003</v>
      </c>
      <c r="H23" s="95">
        <f t="shared" si="8"/>
        <v>0.98885740910694431</v>
      </c>
      <c r="I23" s="95">
        <v>5.483E-3</v>
      </c>
      <c r="J23" s="10">
        <f t="shared" si="11"/>
        <v>2.2177573344706714</v>
      </c>
      <c r="K23" s="10">
        <v>5.083E-2</v>
      </c>
      <c r="L23" s="10"/>
      <c r="M23" s="15">
        <v>0.12395794546910134</v>
      </c>
      <c r="N23" s="15">
        <v>0.12400107832130511</v>
      </c>
      <c r="O23" s="10">
        <f t="shared" si="9"/>
        <v>3.3914944273116809E-2</v>
      </c>
      <c r="P23" s="10">
        <v>0.46600999999999998</v>
      </c>
      <c r="Q23" s="95">
        <f t="shared" si="10"/>
        <v>0.99965215744259894</v>
      </c>
      <c r="R23" s="95">
        <v>1.5188999999999999E-2</v>
      </c>
      <c r="S23" s="10">
        <f t="shared" si="12"/>
        <v>2.069914698250475</v>
      </c>
      <c r="T23" s="10">
        <v>8.6459999999999995E-2</v>
      </c>
      <c r="U23" s="10"/>
    </row>
    <row r="24" spans="1:24" x14ac:dyDescent="0.25">
      <c r="A24" t="s">
        <v>0</v>
      </c>
      <c r="B24" s="15">
        <f t="shared" si="6"/>
        <v>0.47</v>
      </c>
      <c r="C24" s="15"/>
      <c r="D24" s="15">
        <v>0.46125753686901283</v>
      </c>
      <c r="E24" s="15">
        <v>0.47022416572130737</v>
      </c>
      <c r="F24" s="10">
        <f t="shared" si="7"/>
        <v>1.8600985385079039</v>
      </c>
      <c r="G24" s="10">
        <v>0.90564599999999995</v>
      </c>
      <c r="H24" s="95">
        <f t="shared" si="8"/>
        <v>0.98093116112282308</v>
      </c>
      <c r="I24" s="95">
        <v>9.7099999999999999E-3</v>
      </c>
      <c r="J24" s="10">
        <f t="shared" si="11"/>
        <v>2.1999807628034844</v>
      </c>
      <c r="K24" s="10">
        <v>8.9880000000000002E-2</v>
      </c>
      <c r="L24" s="10"/>
      <c r="M24" s="15">
        <v>0.46844144027337026</v>
      </c>
      <c r="N24" s="15">
        <v>0.47003996306991347</v>
      </c>
      <c r="O24" s="10">
        <f t="shared" si="9"/>
        <v>0.33160845247440784</v>
      </c>
      <c r="P24" s="10">
        <v>0.81059000000000003</v>
      </c>
      <c r="Q24" s="95">
        <f t="shared" si="10"/>
        <v>0.99659917683146981</v>
      </c>
      <c r="R24" s="95">
        <v>8.1499999999999993E-3</v>
      </c>
      <c r="S24" s="10">
        <f t="shared" si="12"/>
        <v>2.0635930898856047</v>
      </c>
      <c r="T24" s="10">
        <v>8.0409999999999995E-2</v>
      </c>
      <c r="U24" s="10"/>
    </row>
    <row r="25" spans="1:24" x14ac:dyDescent="0.25">
      <c r="A25" t="s">
        <v>1</v>
      </c>
      <c r="B25" s="15">
        <f t="shared" si="6"/>
        <v>0.12</v>
      </c>
      <c r="C25" s="15"/>
      <c r="D25" s="15">
        <v>0.11806701159674664</v>
      </c>
      <c r="E25" s="15">
        <v>0.12004956380521162</v>
      </c>
      <c r="F25" s="10">
        <f t="shared" si="7"/>
        <v>1.6108236693778033</v>
      </c>
      <c r="G25" s="10">
        <v>1.176472</v>
      </c>
      <c r="H25" s="95">
        <f t="shared" si="8"/>
        <v>0.98348555258658166</v>
      </c>
      <c r="I25" s="95">
        <v>2.2419999999999999E-2</v>
      </c>
      <c r="J25" s="10">
        <f t="shared" si="11"/>
        <v>2.2057096174914177</v>
      </c>
      <c r="K25" s="10">
        <v>8.5629999999999998E-2</v>
      </c>
      <c r="L25" s="10"/>
      <c r="M25" s="15">
        <v>0.11988</v>
      </c>
      <c r="N25" s="15">
        <v>0.12000307692307695</v>
      </c>
      <c r="O25" s="10">
        <f t="shared" si="9"/>
        <v>0.10000000000000009</v>
      </c>
      <c r="P25" s="10">
        <v>0.59679000000000004</v>
      </c>
      <c r="Q25" s="95">
        <f t="shared" si="10"/>
        <v>0.9989743852721723</v>
      </c>
      <c r="R25" s="95">
        <v>5.2599999999999999E-3</v>
      </c>
      <c r="S25" s="10">
        <f t="shared" si="12"/>
        <v>2.0685112795040781</v>
      </c>
      <c r="T25" s="10">
        <v>0.10020999999999999</v>
      </c>
      <c r="U25" s="10"/>
    </row>
    <row r="26" spans="1:24" x14ac:dyDescent="0.25">
      <c r="A26" s="3"/>
      <c r="B26" s="5"/>
      <c r="C26" s="5"/>
      <c r="D26" s="5"/>
      <c r="E26" s="5"/>
      <c r="F26" s="10"/>
      <c r="G26" s="10"/>
      <c r="H26" s="10"/>
      <c r="I26" s="10"/>
      <c r="J26" s="10"/>
      <c r="K26" s="10"/>
      <c r="L26" s="10"/>
      <c r="M26" s="10"/>
      <c r="O26" s="10"/>
      <c r="P26" s="10"/>
      <c r="Q26" s="5"/>
      <c r="R26" s="5"/>
      <c r="S26" s="5"/>
      <c r="T26" s="5"/>
      <c r="U26" s="10"/>
      <c r="V26" s="10"/>
      <c r="W26" s="13"/>
      <c r="X26" s="1"/>
    </row>
    <row r="27" spans="1:24" x14ac:dyDescent="0.25">
      <c r="A27" s="3"/>
      <c r="B27" s="5"/>
      <c r="C27" s="5"/>
      <c r="D27" s="5"/>
      <c r="E27" s="5"/>
      <c r="F27" s="13"/>
      <c r="G27" s="13"/>
      <c r="H27" s="12"/>
      <c r="I27" s="12"/>
      <c r="J27" s="12"/>
      <c r="K27" s="12"/>
      <c r="L27" s="12"/>
      <c r="M27" s="12"/>
      <c r="O27" s="13"/>
      <c r="P27" s="13"/>
      <c r="Q27" s="14"/>
      <c r="R27" s="14"/>
      <c r="S27" s="6"/>
      <c r="T27" s="14"/>
      <c r="U27" s="13"/>
      <c r="V27" s="13"/>
      <c r="W27" s="13"/>
      <c r="X27" s="1"/>
    </row>
    <row r="48" spans="1:1" x14ac:dyDescent="0.25">
      <c r="A48" s="2">
        <v>0.1</v>
      </c>
    </row>
  </sheetData>
  <phoneticPr fontId="7" type="noConversion"/>
  <pageMargins left="0.25" right="0.25" top="0.75" bottom="0.75" header="0.3" footer="0.3"/>
  <pageSetup paperSize="9" scale="3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19E6F-6E71-4B8B-8EE3-8153A0100B56}">
  <dimension ref="A1:W41"/>
  <sheetViews>
    <sheetView zoomScaleNormal="100" workbookViewId="0">
      <selection activeCell="M19" sqref="M19"/>
    </sheetView>
  </sheetViews>
  <sheetFormatPr baseColWidth="10" defaultRowHeight="15" x14ac:dyDescent="0.25"/>
  <cols>
    <col min="1" max="1" width="8.85546875" customWidth="1"/>
    <col min="2" max="2" width="6" bestFit="1" customWidth="1"/>
    <col min="3" max="3" width="13" bestFit="1" customWidth="1"/>
    <col min="4" max="4" width="6.85546875" bestFit="1" customWidth="1"/>
    <col min="5" max="5" width="12.140625" bestFit="1" customWidth="1"/>
    <col min="6" max="6" width="13.5703125" bestFit="1" customWidth="1"/>
    <col min="7" max="7" width="9.140625" bestFit="1" customWidth="1"/>
    <col min="8" max="8" width="9.42578125" bestFit="1" customWidth="1"/>
    <col min="9" max="9" width="8.140625" bestFit="1" customWidth="1"/>
    <col min="10" max="10" width="14.28515625" bestFit="1" customWidth="1"/>
    <col min="11" max="11" width="12.5703125" bestFit="1" customWidth="1"/>
    <col min="12" max="12" width="14" bestFit="1" customWidth="1"/>
    <col min="13" max="13" width="13.28515625" bestFit="1" customWidth="1"/>
    <col min="14" max="14" width="14" bestFit="1" customWidth="1"/>
    <col min="15" max="15" width="10" style="8" bestFit="1" customWidth="1"/>
    <col min="16" max="16" width="7.5703125" bestFit="1" customWidth="1"/>
    <col min="17" max="17" width="6" bestFit="1" customWidth="1"/>
    <col min="18" max="19" width="10" bestFit="1" customWidth="1"/>
    <col min="20" max="20" width="16.7109375" customWidth="1"/>
    <col min="21" max="21" width="19.85546875" customWidth="1"/>
    <col min="22" max="22" width="22.42578125" customWidth="1"/>
  </cols>
  <sheetData>
    <row r="1" spans="1:23" ht="15.75" x14ac:dyDescent="0.25">
      <c r="A1" s="93" t="s">
        <v>122</v>
      </c>
      <c r="O1" s="75"/>
      <c r="P1" s="88"/>
      <c r="Q1" s="88"/>
      <c r="R1" s="88"/>
      <c r="S1" s="88"/>
      <c r="T1" s="88"/>
      <c r="U1" s="88"/>
      <c r="V1" s="88"/>
      <c r="W1" s="88"/>
    </row>
    <row r="2" spans="1:23" x14ac:dyDescent="0.25">
      <c r="K2" s="54"/>
      <c r="L2" s="9"/>
      <c r="M2" s="9"/>
      <c r="N2" s="9"/>
      <c r="O2" s="8" t="s">
        <v>92</v>
      </c>
      <c r="Q2" s="8"/>
    </row>
    <row r="3" spans="1:23" x14ac:dyDescent="0.25">
      <c r="A3" s="8" t="s">
        <v>93</v>
      </c>
      <c r="B3" s="54" t="s">
        <v>94</v>
      </c>
      <c r="C3" s="54" t="s">
        <v>115</v>
      </c>
      <c r="D3" s="54" t="s">
        <v>96</v>
      </c>
      <c r="E3" s="55" t="s">
        <v>97</v>
      </c>
      <c r="F3" s="54" t="s">
        <v>98</v>
      </c>
      <c r="G3" s="54" t="s">
        <v>99</v>
      </c>
      <c r="H3" s="54" t="s">
        <v>100</v>
      </c>
      <c r="I3" s="54" t="s">
        <v>123</v>
      </c>
      <c r="J3" s="54" t="s">
        <v>124</v>
      </c>
      <c r="K3" s="54" t="s">
        <v>103</v>
      </c>
      <c r="L3" s="8" t="s">
        <v>104</v>
      </c>
      <c r="M3" s="8" t="s">
        <v>105</v>
      </c>
      <c r="N3" s="8" t="s">
        <v>106</v>
      </c>
      <c r="O3" s="8" t="str">
        <f>E3</f>
        <v>J (L/h*m^2)</v>
      </c>
      <c r="P3" s="8" t="s">
        <v>125</v>
      </c>
      <c r="Q3" s="8"/>
    </row>
    <row r="4" spans="1:23" x14ac:dyDescent="0.25">
      <c r="A4" s="8">
        <v>900</v>
      </c>
      <c r="B4" s="8">
        <f>A4/60</f>
        <v>15</v>
      </c>
      <c r="C4" s="64">
        <f>(B4/60)</f>
        <v>0.25</v>
      </c>
      <c r="D4" s="64">
        <v>7.5087000000000112E-2</v>
      </c>
      <c r="E4" s="89">
        <f>D4/(0.0132*C4)</f>
        <v>22.753636363636399</v>
      </c>
      <c r="F4" s="66">
        <f>100000/((E4/3600000)*(0.479/((25+42.5)^1.5)))</f>
        <v>18317737598222.883</v>
      </c>
      <c r="G4" s="66">
        <f>100000/((132/3600000)*(0.479/((25+42.5)^1.5)))</f>
        <v>3157538941776.3174</v>
      </c>
      <c r="H4" s="66">
        <f>(F4-G4)</f>
        <v>15160198656446.566</v>
      </c>
      <c r="I4" s="7">
        <f t="shared" ref="I4:I12" si="0">H4*100/F4</f>
        <v>82.762396694214857</v>
      </c>
      <c r="J4" s="7">
        <f>(F4-G4)*0.0000000000001</f>
        <v>1.5160198656446566</v>
      </c>
      <c r="K4" s="8">
        <f>A4</f>
        <v>900</v>
      </c>
      <c r="L4" s="10">
        <f t="shared" ref="L4:L12" si="1">LN((E4/3600000)-L$18)</f>
        <v>-12.345741157926613</v>
      </c>
      <c r="M4" s="10">
        <f t="shared" ref="M4:M12" si="2">1/((E4/3600000)^0.5)</f>
        <v>397.76433839156613</v>
      </c>
      <c r="N4" s="10">
        <f t="shared" ref="N4:N12" si="3">(LN((E4/3600000)/((E4/3600000)-L$18)))-(L$18/(E4/3600000))</f>
        <v>6.1983691405616992E-2</v>
      </c>
      <c r="O4" s="10">
        <v>22.753636363636399</v>
      </c>
      <c r="P4" s="10">
        <f t="shared" ref="P4:P12" si="4">((LN((O4/3600000)/((O4/3600000)-L$18)))-(L$18/(O4/3600000))-N$15)/(N$14)</f>
        <v>930.84121082253341</v>
      </c>
      <c r="Q4" s="10"/>
    </row>
    <row r="5" spans="1:23" x14ac:dyDescent="0.25">
      <c r="A5" s="8">
        <v>1200</v>
      </c>
      <c r="B5" s="8">
        <f t="shared" ref="B5:B12" si="5">A5/60</f>
        <v>20</v>
      </c>
      <c r="C5" s="64">
        <f>(B5/60)</f>
        <v>0.33333333333333331</v>
      </c>
      <c r="D5" s="64">
        <v>8.0167999999999989E-2</v>
      </c>
      <c r="E5" s="89">
        <f t="shared" ref="E5:E12" si="6">D5/(0.0132*C5)</f>
        <v>18.22</v>
      </c>
      <c r="F5" s="66">
        <f t="shared" ref="F5:F12" si="7">100000/((E5/3600000)*(0.479/((25+42.5)^1.5)))</f>
        <v>22875693760399.227</v>
      </c>
      <c r="G5" s="66">
        <f t="shared" ref="G5:G12" si="8">100000/((132/3600000)*(0.479/((25+42.5)^1.5)))</f>
        <v>3157538941776.3174</v>
      </c>
      <c r="H5" s="66">
        <f t="shared" ref="H5:H12" si="9">(F5-G5)</f>
        <v>19718154818622.91</v>
      </c>
      <c r="I5" s="7">
        <f t="shared" si="0"/>
        <v>86.196969696969703</v>
      </c>
      <c r="J5" s="7">
        <f t="shared" ref="J5:J12" si="10">(F5-G5)*0.0000000000001</f>
        <v>1.9718154818622911</v>
      </c>
      <c r="K5" s="8">
        <f t="shared" ref="K5:K12" si="11">A5</f>
        <v>1200</v>
      </c>
      <c r="L5" s="10">
        <f t="shared" si="1"/>
        <v>-12.687699114603902</v>
      </c>
      <c r="M5" s="10">
        <f t="shared" si="2"/>
        <v>444.50542330793292</v>
      </c>
      <c r="N5" s="10">
        <f t="shared" si="3"/>
        <v>0.10409293451321783</v>
      </c>
      <c r="O5" s="10">
        <v>18.22</v>
      </c>
      <c r="P5" s="10">
        <f t="shared" si="4"/>
        <v>1288.8938728430562</v>
      </c>
      <c r="Q5" s="10"/>
    </row>
    <row r="6" spans="1:23" x14ac:dyDescent="0.25">
      <c r="A6" s="8">
        <v>1800</v>
      </c>
      <c r="B6" s="8">
        <f t="shared" si="5"/>
        <v>30</v>
      </c>
      <c r="C6" s="64">
        <f t="shared" ref="C6:C12" si="12">(B6/60)</f>
        <v>0.5</v>
      </c>
      <c r="D6" s="64">
        <v>0.10087200000000024</v>
      </c>
      <c r="E6" s="89">
        <f t="shared" si="6"/>
        <v>15.283636363636401</v>
      </c>
      <c r="F6" s="66">
        <f t="shared" si="7"/>
        <v>27270678940394.965</v>
      </c>
      <c r="G6" s="66">
        <f t="shared" si="8"/>
        <v>3157538941776.3174</v>
      </c>
      <c r="H6" s="66">
        <f t="shared" si="9"/>
        <v>24113139998618.648</v>
      </c>
      <c r="I6" s="7">
        <f t="shared" si="0"/>
        <v>88.421487603305764</v>
      </c>
      <c r="J6" s="7">
        <f t="shared" si="10"/>
        <v>2.4113139998618651</v>
      </c>
      <c r="K6" s="8">
        <f t="shared" si="11"/>
        <v>1800</v>
      </c>
      <c r="L6" s="10">
        <f t="shared" si="1"/>
        <v>-12.994307808359917</v>
      </c>
      <c r="M6" s="10">
        <f t="shared" si="2"/>
        <v>485.33085472067052</v>
      </c>
      <c r="N6" s="10">
        <f t="shared" si="3"/>
        <v>0.16009701069944204</v>
      </c>
      <c r="O6" s="10">
        <v>15.283636363636401</v>
      </c>
      <c r="P6" s="10">
        <f t="shared" si="4"/>
        <v>1765.0935639949075</v>
      </c>
      <c r="Q6" s="10"/>
    </row>
    <row r="7" spans="1:23" x14ac:dyDescent="0.25">
      <c r="A7" s="8">
        <v>2700</v>
      </c>
      <c r="B7" s="8">
        <f t="shared" si="5"/>
        <v>45</v>
      </c>
      <c r="C7" s="64">
        <f t="shared" si="12"/>
        <v>0.75</v>
      </c>
      <c r="D7" s="64">
        <v>0.123183</v>
      </c>
      <c r="E7" s="89">
        <f t="shared" si="6"/>
        <v>12.442727272727273</v>
      </c>
      <c r="F7" s="66">
        <f t="shared" si="7"/>
        <v>33497088795639.754</v>
      </c>
      <c r="G7" s="66">
        <f t="shared" si="8"/>
        <v>3157538941776.3174</v>
      </c>
      <c r="H7" s="66">
        <f t="shared" si="9"/>
        <v>30339549853863.438</v>
      </c>
      <c r="I7" s="7">
        <f t="shared" si="0"/>
        <v>90.573691460055102</v>
      </c>
      <c r="J7" s="7">
        <f t="shared" si="10"/>
        <v>3.0339549853863437</v>
      </c>
      <c r="K7" s="8">
        <f t="shared" si="11"/>
        <v>2700</v>
      </c>
      <c r="L7" s="10">
        <f t="shared" si="1"/>
        <v>-13.420708155600149</v>
      </c>
      <c r="M7" s="10">
        <f t="shared" si="2"/>
        <v>537.88998639704084</v>
      </c>
      <c r="N7" s="10">
        <f t="shared" si="3"/>
        <v>0.27478559792914836</v>
      </c>
      <c r="O7" s="10">
        <v>12.442727272727273</v>
      </c>
      <c r="P7" s="10">
        <f t="shared" si="4"/>
        <v>2740.2845418055967</v>
      </c>
      <c r="Q7" s="10"/>
    </row>
    <row r="8" spans="1:23" x14ac:dyDescent="0.25">
      <c r="A8" s="8">
        <v>3600</v>
      </c>
      <c r="B8" s="8">
        <f t="shared" si="5"/>
        <v>60</v>
      </c>
      <c r="C8" s="64">
        <f t="shared" si="12"/>
        <v>1</v>
      </c>
      <c r="D8" s="64">
        <v>0.15001200000000001</v>
      </c>
      <c r="E8" s="89">
        <f t="shared" si="6"/>
        <v>11.364545454545455</v>
      </c>
      <c r="F8" s="66">
        <f t="shared" si="7"/>
        <v>36675038344606.133</v>
      </c>
      <c r="G8" s="66">
        <f t="shared" si="8"/>
        <v>3157538941776.3174</v>
      </c>
      <c r="H8" s="66">
        <f t="shared" si="9"/>
        <v>33517499402829.816</v>
      </c>
      <c r="I8" s="7">
        <f t="shared" si="0"/>
        <v>91.390495867768593</v>
      </c>
      <c r="J8" s="7">
        <f t="shared" si="10"/>
        <v>3.3517499402829816</v>
      </c>
      <c r="K8" s="8">
        <f t="shared" si="11"/>
        <v>3600</v>
      </c>
      <c r="L8" s="10">
        <f t="shared" si="1"/>
        <v>-13.646108803884342</v>
      </c>
      <c r="M8" s="10">
        <f t="shared" si="2"/>
        <v>562.82737853391404</v>
      </c>
      <c r="N8" s="10">
        <f t="shared" si="3"/>
        <v>0.3554128417637048</v>
      </c>
      <c r="O8" s="10">
        <v>11.364545454545455</v>
      </c>
      <c r="P8" s="10">
        <f t="shared" si="4"/>
        <v>3425.853722248306</v>
      </c>
      <c r="Q8" s="10"/>
    </row>
    <row r="9" spans="1:23" x14ac:dyDescent="0.25">
      <c r="A9" s="8">
        <v>4500</v>
      </c>
      <c r="B9" s="8">
        <f t="shared" si="5"/>
        <v>75</v>
      </c>
      <c r="C9" s="64">
        <f t="shared" si="12"/>
        <v>1.25</v>
      </c>
      <c r="D9" s="64">
        <v>0.16944000000000001</v>
      </c>
      <c r="E9" s="89">
        <f t="shared" si="6"/>
        <v>10.269090909090909</v>
      </c>
      <c r="F9" s="66">
        <f t="shared" si="7"/>
        <v>40587345462634.672</v>
      </c>
      <c r="G9" s="66">
        <f t="shared" si="8"/>
        <v>3157538941776.3174</v>
      </c>
      <c r="H9" s="66">
        <f t="shared" si="9"/>
        <v>37429806520858.352</v>
      </c>
      <c r="I9" s="7">
        <f t="shared" si="0"/>
        <v>92.220385674931123</v>
      </c>
      <c r="J9" s="7">
        <f t="shared" si="10"/>
        <v>3.7429806520858353</v>
      </c>
      <c r="K9" s="8">
        <f t="shared" si="11"/>
        <v>4500</v>
      </c>
      <c r="L9" s="10">
        <f t="shared" si="1"/>
        <v>-13.942999636132834</v>
      </c>
      <c r="M9" s="10">
        <f t="shared" si="2"/>
        <v>592.08662561990059</v>
      </c>
      <c r="N9" s="10">
        <f t="shared" si="3"/>
        <v>0.4842985495170794</v>
      </c>
      <c r="O9" s="10">
        <v>10.269090909090909</v>
      </c>
      <c r="P9" s="10">
        <f t="shared" si="4"/>
        <v>4521.7620633119113</v>
      </c>
      <c r="Q9" s="10"/>
    </row>
    <row r="10" spans="1:23" x14ac:dyDescent="0.25">
      <c r="A10" s="8">
        <v>5400</v>
      </c>
      <c r="B10" s="8">
        <f t="shared" si="5"/>
        <v>90</v>
      </c>
      <c r="C10" s="64">
        <f t="shared" si="12"/>
        <v>1.5</v>
      </c>
      <c r="D10" s="64">
        <v>0.19501199999999996</v>
      </c>
      <c r="E10" s="89">
        <f t="shared" si="6"/>
        <v>9.8490909090909078</v>
      </c>
      <c r="F10" s="66">
        <f t="shared" si="7"/>
        <v>42318133131430.805</v>
      </c>
      <c r="G10" s="66">
        <f t="shared" si="8"/>
        <v>3157538941776.3174</v>
      </c>
      <c r="H10" s="66">
        <f t="shared" si="9"/>
        <v>39160594189654.484</v>
      </c>
      <c r="I10" s="7">
        <f t="shared" si="0"/>
        <v>92.53856749311295</v>
      </c>
      <c r="J10" s="7">
        <f t="shared" si="10"/>
        <v>3.9160594189654487</v>
      </c>
      <c r="K10" s="8">
        <f t="shared" si="11"/>
        <v>5400</v>
      </c>
      <c r="L10" s="10">
        <f t="shared" si="1"/>
        <v>-14.085174124913376</v>
      </c>
      <c r="M10" s="10">
        <f t="shared" si="2"/>
        <v>604.57916623723304</v>
      </c>
      <c r="N10" s="10">
        <f t="shared" si="3"/>
        <v>0.55523016376243017</v>
      </c>
      <c r="O10" s="10">
        <v>9.8490909090909078</v>
      </c>
      <c r="P10" s="10">
        <f t="shared" si="4"/>
        <v>5124.8898193027671</v>
      </c>
      <c r="Q10" s="10"/>
    </row>
    <row r="11" spans="1:23" x14ac:dyDescent="0.25">
      <c r="A11" s="8">
        <v>6300</v>
      </c>
      <c r="B11" s="8">
        <f t="shared" si="5"/>
        <v>105</v>
      </c>
      <c r="C11" s="64">
        <f t="shared" si="12"/>
        <v>1.75</v>
      </c>
      <c r="D11" s="64">
        <v>0.20995799999999998</v>
      </c>
      <c r="E11" s="89">
        <f t="shared" si="6"/>
        <v>9.089090909090908</v>
      </c>
      <c r="F11" s="66">
        <f t="shared" si="7"/>
        <v>45856636761944.516</v>
      </c>
      <c r="G11" s="66">
        <f t="shared" si="8"/>
        <v>3157538941776.3174</v>
      </c>
      <c r="H11" s="66">
        <f t="shared" si="9"/>
        <v>42699097820168.195</v>
      </c>
      <c r="I11" s="7">
        <f t="shared" si="0"/>
        <v>93.114325068870514</v>
      </c>
      <c r="J11" s="7">
        <f t="shared" si="10"/>
        <v>4.2699097820168195</v>
      </c>
      <c r="K11" s="8">
        <f t="shared" si="11"/>
        <v>6300</v>
      </c>
      <c r="L11" s="10">
        <f t="shared" si="1"/>
        <v>-14.408766698670929</v>
      </c>
      <c r="M11" s="10">
        <f t="shared" si="2"/>
        <v>629.34824687383434</v>
      </c>
      <c r="N11" s="10">
        <f t="shared" si="3"/>
        <v>0.73824095718539429</v>
      </c>
      <c r="O11" s="10">
        <v>9.089090909090908</v>
      </c>
      <c r="P11" s="10">
        <f t="shared" si="4"/>
        <v>6681.0208947566589</v>
      </c>
      <c r="Q11" s="10"/>
    </row>
    <row r="12" spans="1:23" x14ac:dyDescent="0.25">
      <c r="A12" s="8">
        <v>7200</v>
      </c>
      <c r="B12" s="8">
        <f t="shared" si="5"/>
        <v>120</v>
      </c>
      <c r="C12" s="64">
        <f t="shared" si="12"/>
        <v>2</v>
      </c>
      <c r="D12" s="64">
        <v>0.23575200000000004</v>
      </c>
      <c r="E12" s="89">
        <f t="shared" si="6"/>
        <v>8.9300000000000015</v>
      </c>
      <c r="F12" s="66">
        <f t="shared" si="7"/>
        <v>46673587941150.484</v>
      </c>
      <c r="G12" s="66">
        <f t="shared" si="8"/>
        <v>3157538941776.3174</v>
      </c>
      <c r="H12" s="66">
        <f t="shared" si="9"/>
        <v>43516048999374.164</v>
      </c>
      <c r="I12" s="7">
        <f t="shared" si="0"/>
        <v>93.234848484848484</v>
      </c>
      <c r="J12" s="7">
        <f t="shared" si="10"/>
        <v>4.3516048999374162</v>
      </c>
      <c r="K12" s="8">
        <f t="shared" si="11"/>
        <v>7200</v>
      </c>
      <c r="L12" s="10">
        <f t="shared" si="1"/>
        <v>-14.492128436573008</v>
      </c>
      <c r="M12" s="10">
        <f t="shared" si="2"/>
        <v>634.92952232532764</v>
      </c>
      <c r="N12" s="10">
        <f t="shared" si="3"/>
        <v>0.79002763968121359</v>
      </c>
      <c r="O12" s="10">
        <v>8.9300000000000015</v>
      </c>
      <c r="P12" s="10">
        <f t="shared" si="4"/>
        <v>7121.3603109142659</v>
      </c>
      <c r="Q12" s="10"/>
    </row>
    <row r="13" spans="1:23" x14ac:dyDescent="0.25">
      <c r="F13" s="66"/>
      <c r="G13" s="66"/>
      <c r="H13" s="10"/>
      <c r="I13" s="10"/>
      <c r="J13" s="8"/>
      <c r="L13" s="8" t="s">
        <v>107</v>
      </c>
      <c r="M13" s="8" t="s">
        <v>108</v>
      </c>
      <c r="N13" s="8" t="s">
        <v>92</v>
      </c>
      <c r="P13" s="8"/>
      <c r="T13" s="10"/>
    </row>
    <row r="14" spans="1:23" x14ac:dyDescent="0.25">
      <c r="A14" s="64"/>
      <c r="B14" s="64"/>
      <c r="C14" s="89"/>
      <c r="D14" s="76"/>
      <c r="E14" s="66"/>
      <c r="F14" s="66"/>
      <c r="G14" s="66"/>
      <c r="H14" s="10"/>
      <c r="I14" s="10"/>
      <c r="J14" s="8"/>
      <c r="K14" s="9" t="s">
        <v>128</v>
      </c>
      <c r="L14" s="46">
        <f>SLOPE(L4:L12,K4:K12)</f>
        <v>-3.2626472601059061E-4</v>
      </c>
      <c r="M14" s="46">
        <f>SLOPE(M4:M12,K4:K12)</f>
        <v>3.5299035266173506E-2</v>
      </c>
      <c r="N14" s="46">
        <f>SLOPE(N4:N12,K4:K12)</f>
        <v>1.1760628414260255E-4</v>
      </c>
      <c r="O14" s="90"/>
      <c r="P14" s="8"/>
      <c r="Q14" s="8"/>
      <c r="R14" s="7"/>
      <c r="S14" s="8"/>
    </row>
    <row r="15" spans="1:23" x14ac:dyDescent="0.25">
      <c r="A15" s="64"/>
      <c r="B15" s="64"/>
      <c r="D15" s="76"/>
      <c r="E15" s="66"/>
      <c r="F15" s="66"/>
      <c r="G15" s="66"/>
      <c r="H15" s="10"/>
      <c r="I15" s="10"/>
      <c r="J15" s="8"/>
      <c r="K15" s="9" t="s">
        <v>127</v>
      </c>
      <c r="L15" s="46">
        <f>INTERCEPT(L4:L12,K4:K12)</f>
        <v>-12.340126571412139</v>
      </c>
      <c r="M15" s="46">
        <f>INTERCEPT(M4:M12,K4:K12)</f>
        <v>411.46821749599894</v>
      </c>
      <c r="N15" s="46">
        <f>INTERCEPT(N4:N12,K4:K12)</f>
        <v>-4.7489084526022074E-2</v>
      </c>
      <c r="P15" s="8"/>
      <c r="Q15" s="8"/>
      <c r="R15" s="7"/>
      <c r="S15" s="8"/>
    </row>
    <row r="16" spans="1:23" x14ac:dyDescent="0.25">
      <c r="A16" s="64"/>
      <c r="B16" s="64"/>
      <c r="D16" s="8"/>
      <c r="E16" s="66"/>
      <c r="F16" s="91"/>
      <c r="K16" s="9" t="s">
        <v>118</v>
      </c>
      <c r="L16" s="46">
        <f>RSQ(L4:L12,K4:K12)</f>
        <v>0.95560412329175393</v>
      </c>
      <c r="M16" s="46">
        <f>RSQ(M4:M12,K4:K12)</f>
        <v>0.90711716417805999</v>
      </c>
      <c r="N16" s="46">
        <f>RSQ(N4:N12,K4:K12)</f>
        <v>0.99350650861496548</v>
      </c>
      <c r="Q16" s="8"/>
      <c r="R16" s="7"/>
      <c r="S16" s="8"/>
    </row>
    <row r="17" spans="1:14" x14ac:dyDescent="0.25">
      <c r="A17" s="64"/>
      <c r="B17" s="64"/>
      <c r="E17" s="82"/>
      <c r="F17" s="91"/>
      <c r="G17" s="5"/>
      <c r="H17" s="86"/>
      <c r="I17" s="8"/>
      <c r="K17" s="9" t="s">
        <v>119</v>
      </c>
      <c r="L17" s="38">
        <f>132/3600000</f>
        <v>3.6666666666666666E-5</v>
      </c>
      <c r="M17" s="9">
        <f>L17*3600000</f>
        <v>132</v>
      </c>
      <c r="N17" s="8"/>
    </row>
    <row r="18" spans="1:14" x14ac:dyDescent="0.25">
      <c r="A18" s="64"/>
      <c r="B18" s="64"/>
      <c r="C18" s="92"/>
      <c r="E18" s="82"/>
      <c r="F18" s="91"/>
      <c r="G18" s="5"/>
      <c r="H18" s="86"/>
      <c r="I18" s="8"/>
      <c r="K18" s="9" t="s">
        <v>120</v>
      </c>
      <c r="L18" s="38">
        <f>7.1/3600000</f>
        <v>1.9722222222222219E-6</v>
      </c>
      <c r="M18" s="9">
        <f>L18*3600000</f>
        <v>7.0999999999999988</v>
      </c>
    </row>
    <row r="19" spans="1:14" x14ac:dyDescent="0.25">
      <c r="A19" s="54"/>
      <c r="B19" s="54"/>
      <c r="E19" s="82"/>
      <c r="F19" s="91"/>
      <c r="G19" s="5"/>
      <c r="H19" s="86"/>
      <c r="I19" s="8"/>
      <c r="K19" s="9" t="s">
        <v>112</v>
      </c>
      <c r="L19" s="47">
        <f>L14*-1</f>
        <v>3.2626472601059061E-4</v>
      </c>
      <c r="M19" s="35">
        <f>M14</f>
        <v>3.5299035266173506E-2</v>
      </c>
      <c r="N19" s="38">
        <f>N14/(L18^2)</f>
        <v>30235616.79206764</v>
      </c>
    </row>
    <row r="20" spans="1:14" x14ac:dyDescent="0.25">
      <c r="A20" s="54"/>
      <c r="B20" s="54"/>
      <c r="C20" s="85"/>
      <c r="E20" s="82"/>
      <c r="F20" s="91"/>
      <c r="H20" s="86"/>
    </row>
    <row r="21" spans="1:14" x14ac:dyDescent="0.25">
      <c r="A21" s="54"/>
      <c r="B21" s="54"/>
      <c r="C21" s="85"/>
      <c r="D21" s="85"/>
      <c r="E21" s="82"/>
      <c r="F21" s="91"/>
      <c r="H21" s="86"/>
      <c r="K21" s="9"/>
      <c r="L21" s="9"/>
      <c r="M21" s="9"/>
    </row>
    <row r="22" spans="1:14" x14ac:dyDescent="0.25">
      <c r="A22" s="54"/>
      <c r="B22" s="54"/>
      <c r="C22" s="85"/>
      <c r="D22" s="85"/>
      <c r="E22" s="82"/>
      <c r="F22" s="91"/>
      <c r="H22" s="86"/>
    </row>
    <row r="23" spans="1:14" x14ac:dyDescent="0.25">
      <c r="A23" s="54"/>
      <c r="B23" s="54"/>
      <c r="C23" s="85"/>
      <c r="D23" s="108"/>
      <c r="E23" s="108"/>
      <c r="F23" s="108"/>
      <c r="G23" s="108"/>
      <c r="H23" s="108"/>
      <c r="I23" s="108"/>
      <c r="J23" s="108"/>
    </row>
    <row r="24" spans="1:14" x14ac:dyDescent="0.25">
      <c r="A24" s="54"/>
      <c r="B24" s="54"/>
      <c r="C24" s="85"/>
    </row>
    <row r="25" spans="1:14" x14ac:dyDescent="0.25">
      <c r="A25" s="54"/>
      <c r="B25" s="54"/>
      <c r="C25" s="85"/>
      <c r="D25" s="54"/>
      <c r="E25" s="54"/>
      <c r="F25" s="54"/>
      <c r="G25" s="54"/>
      <c r="H25" s="54"/>
      <c r="I25" s="54"/>
      <c r="J25" s="54"/>
    </row>
    <row r="26" spans="1:14" x14ac:dyDescent="0.25">
      <c r="D26" s="54"/>
      <c r="E26" s="54"/>
      <c r="F26" s="54"/>
      <c r="G26" s="54"/>
      <c r="H26" s="54"/>
      <c r="I26" s="54"/>
      <c r="J26" s="54"/>
    </row>
    <row r="28" spans="1:14" x14ac:dyDescent="0.25">
      <c r="D28" s="108"/>
      <c r="E28" s="108"/>
      <c r="F28" s="108"/>
      <c r="G28" s="108"/>
      <c r="H28" s="108"/>
    </row>
    <row r="30" spans="1:14" x14ac:dyDescent="0.25">
      <c r="D30" s="77"/>
      <c r="E30" s="77"/>
      <c r="F30" s="77"/>
      <c r="G30" s="77"/>
      <c r="H30" s="77"/>
    </row>
    <row r="31" spans="1:14" x14ac:dyDescent="0.25">
      <c r="D31" s="77"/>
      <c r="E31" s="77"/>
      <c r="F31" s="77"/>
      <c r="G31" s="77"/>
      <c r="H31" s="77"/>
    </row>
    <row r="33" spans="4:15" x14ac:dyDescent="0.25">
      <c r="D33" s="54"/>
      <c r="M33" s="8"/>
      <c r="O33"/>
    </row>
    <row r="34" spans="4:15" x14ac:dyDescent="0.25">
      <c r="D34" s="65"/>
      <c r="E34" s="65"/>
      <c r="F34" s="87"/>
    </row>
    <row r="35" spans="4:15" x14ac:dyDescent="0.25">
      <c r="D35" s="65"/>
      <c r="E35" s="82"/>
    </row>
    <row r="36" spans="4:15" x14ac:dyDescent="0.25">
      <c r="O36"/>
    </row>
    <row r="38" spans="4:15" x14ac:dyDescent="0.25">
      <c r="F38" s="54"/>
      <c r="G38" s="54"/>
    </row>
    <row r="39" spans="4:15" x14ac:dyDescent="0.25">
      <c r="F39" s="54"/>
      <c r="G39" s="54"/>
      <c r="H39" s="54"/>
    </row>
    <row r="40" spans="4:15" x14ac:dyDescent="0.25">
      <c r="K40" s="109"/>
      <c r="L40" s="109"/>
    </row>
    <row r="41" spans="4:15" x14ac:dyDescent="0.25">
      <c r="K41" s="109"/>
      <c r="L41" s="109"/>
    </row>
  </sheetData>
  <mergeCells count="4">
    <mergeCell ref="D23:J23"/>
    <mergeCell ref="D28:H28"/>
    <mergeCell ref="K40:L40"/>
    <mergeCell ref="K41:L4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5FEB3-B7F2-49F6-B3FA-92F88CCD16B1}">
  <dimension ref="A1:T35"/>
  <sheetViews>
    <sheetView zoomScaleNormal="100" workbookViewId="0">
      <selection activeCell="K31" sqref="K31"/>
    </sheetView>
  </sheetViews>
  <sheetFormatPr baseColWidth="10" defaultRowHeight="15" x14ac:dyDescent="0.25"/>
  <cols>
    <col min="1" max="1" width="11.42578125" style="8"/>
    <col min="2" max="2" width="6" style="8" bestFit="1" customWidth="1"/>
    <col min="3" max="3" width="5.5703125" style="8" bestFit="1" customWidth="1"/>
    <col min="4" max="4" width="6.85546875" style="8" bestFit="1" customWidth="1"/>
    <col min="5" max="5" width="11.28515625" style="8" bestFit="1" customWidth="1"/>
    <col min="6" max="6" width="8.7109375" style="8" bestFit="1" customWidth="1"/>
    <col min="7" max="7" width="9.28515625" style="8" bestFit="1" customWidth="1"/>
    <col min="8" max="8" width="8.7109375" style="8" bestFit="1" customWidth="1"/>
    <col min="9" max="9" width="9" style="8" bestFit="1" customWidth="1"/>
    <col min="10" max="10" width="14.42578125" style="8" bestFit="1" customWidth="1"/>
    <col min="11" max="11" width="8.7109375" style="8" bestFit="1" customWidth="1"/>
    <col min="12" max="12" width="12.7109375" style="8" bestFit="1" customWidth="1"/>
    <col min="13" max="13" width="12" style="8" bestFit="1" customWidth="1"/>
    <col min="14" max="14" width="13.42578125" style="8" bestFit="1" customWidth="1"/>
    <col min="15" max="15" width="11.140625" style="8" bestFit="1" customWidth="1"/>
    <col min="16" max="16" width="7" style="8" bestFit="1" customWidth="1"/>
    <col min="17" max="17" width="16.7109375" style="8" customWidth="1"/>
    <col min="18" max="18" width="19.85546875" style="8" customWidth="1"/>
    <col min="19" max="19" width="22.42578125" style="8" customWidth="1"/>
    <col min="20" max="16384" width="11.42578125" style="8"/>
  </cols>
  <sheetData>
    <row r="1" spans="1:20" ht="15.75" x14ac:dyDescent="0.25">
      <c r="A1" s="93" t="s">
        <v>121</v>
      </c>
      <c r="P1" s="75"/>
      <c r="Q1" s="75"/>
      <c r="R1" s="75"/>
      <c r="S1" s="75"/>
      <c r="T1" s="75"/>
    </row>
    <row r="2" spans="1:20" ht="14.25" customHeight="1" x14ac:dyDescent="0.25">
      <c r="E2" s="76"/>
      <c r="F2" s="76"/>
      <c r="O2" s="8" t="s">
        <v>92</v>
      </c>
    </row>
    <row r="3" spans="1:20" x14ac:dyDescent="0.25">
      <c r="A3" s="8" t="s">
        <v>93</v>
      </c>
      <c r="B3" s="54" t="s">
        <v>94</v>
      </c>
      <c r="C3" s="54" t="s">
        <v>115</v>
      </c>
      <c r="D3" s="77" t="s">
        <v>96</v>
      </c>
      <c r="E3" s="55" t="s">
        <v>97</v>
      </c>
      <c r="F3" s="54" t="s">
        <v>98</v>
      </c>
      <c r="G3" s="54" t="s">
        <v>99</v>
      </c>
      <c r="H3" s="54" t="s">
        <v>100</v>
      </c>
      <c r="I3" s="54" t="s">
        <v>101</v>
      </c>
      <c r="J3" s="54" t="s">
        <v>102</v>
      </c>
      <c r="K3" s="54" t="s">
        <v>103</v>
      </c>
      <c r="L3" s="8" t="s">
        <v>104</v>
      </c>
      <c r="M3" s="8" t="s">
        <v>105</v>
      </c>
      <c r="N3" s="8" t="s">
        <v>106</v>
      </c>
      <c r="O3" s="8" t="s">
        <v>97</v>
      </c>
      <c r="P3" s="8" t="s">
        <v>103</v>
      </c>
    </row>
    <row r="4" spans="1:20" s="56" customFormat="1" x14ac:dyDescent="0.25">
      <c r="C4" s="78"/>
      <c r="D4" s="79"/>
      <c r="E4" s="80"/>
      <c r="F4" s="60"/>
      <c r="G4" s="60"/>
      <c r="H4" s="60"/>
      <c r="I4" s="12"/>
      <c r="J4" s="12"/>
      <c r="N4" s="81"/>
      <c r="O4" s="61"/>
      <c r="P4" s="12"/>
    </row>
    <row r="5" spans="1:20" x14ac:dyDescent="0.25">
      <c r="A5" s="8">
        <v>600</v>
      </c>
      <c r="B5" s="8">
        <f>K5/60</f>
        <v>10</v>
      </c>
      <c r="C5" s="64">
        <f t="shared" ref="C5:C16" si="0">(B5/60)</f>
        <v>0.16666666666666666</v>
      </c>
      <c r="D5" s="82">
        <v>3.096515151515148E-2</v>
      </c>
      <c r="E5" s="83">
        <f t="shared" ref="E5:E16" si="1">D5/(0.0132*C5)</f>
        <v>14.075068870523403</v>
      </c>
      <c r="F5" s="66">
        <f t="shared" ref="F5:F16" si="2">100000/((E5/3600000)*(0.479/((25+42.5)^1.5)))</f>
        <v>29612298465362.656</v>
      </c>
      <c r="G5" s="66">
        <f>100000/((119/3600000)*(0.479/((25+42.5)^1.5)))</f>
        <v>3502480170709.8652</v>
      </c>
      <c r="H5" s="66">
        <f>(F5-G5)</f>
        <v>26109818294652.789</v>
      </c>
      <c r="I5" s="7">
        <f t="shared" ref="I5:I16" si="3">H5*100/F5</f>
        <v>88.17221103317361</v>
      </c>
      <c r="J5" s="7">
        <f>(F5-G5)*0.0000000000001</f>
        <v>2.6109818294652789</v>
      </c>
      <c r="K5" s="8">
        <f t="shared" ref="K5:K16" si="4">A5</f>
        <v>600</v>
      </c>
      <c r="L5" s="8">
        <f t="shared" ref="L5:L16" si="5">LN((E5/3600000)-L$22)</f>
        <v>-13.125832043147501</v>
      </c>
      <c r="M5" s="8">
        <f t="shared" ref="M5:M16" si="6">1/((E5/3600000)^0.5)</f>
        <v>505.73846503784796</v>
      </c>
      <c r="N5" s="84">
        <f t="shared" ref="N5:N16" si="7">(LN(E5/(E5-M$22)))-(M$22/E5)</f>
        <v>0.18356419972551535</v>
      </c>
      <c r="O5" s="7">
        <v>14.075068870523403</v>
      </c>
      <c r="P5" s="68">
        <f t="shared" ref="P5:P16" si="8">((LN(O5/(O5-M$22)))-(M$22/O5)-N$19)/N$18</f>
        <v>619.23205555521292</v>
      </c>
    </row>
    <row r="6" spans="1:20" x14ac:dyDescent="0.25">
      <c r="A6" s="8">
        <v>1200</v>
      </c>
      <c r="B6" s="8">
        <f>K6/60</f>
        <v>20</v>
      </c>
      <c r="C6" s="64">
        <f t="shared" si="0"/>
        <v>0.33333333333333331</v>
      </c>
      <c r="D6" s="82">
        <v>4.6848484848483987E-2</v>
      </c>
      <c r="E6" s="83">
        <f t="shared" si="1"/>
        <v>10.647382920109999</v>
      </c>
      <c r="F6" s="66">
        <f t="shared" si="2"/>
        <v>39145313307673.164</v>
      </c>
      <c r="G6" s="66">
        <f t="shared" ref="G6:G16" si="9">100000/((119/3600000)*(0.479/((25+42.5)^1.5)))</f>
        <v>3502480170709.8652</v>
      </c>
      <c r="H6" s="66">
        <f t="shared" ref="H6:H16" si="10">(F6-G6)</f>
        <v>35642833136963.297</v>
      </c>
      <c r="I6" s="7">
        <f t="shared" si="3"/>
        <v>91.05261939486553</v>
      </c>
      <c r="J6" s="7">
        <f t="shared" ref="J6:J16" si="11">(F6-G6)*0.0000000000001</f>
        <v>3.5642833136963299</v>
      </c>
      <c r="K6" s="8">
        <f t="shared" si="4"/>
        <v>1200</v>
      </c>
      <c r="L6" s="8">
        <f t="shared" si="5"/>
        <v>-13.775386695051857</v>
      </c>
      <c r="M6" s="8">
        <f t="shared" si="6"/>
        <v>581.47334835849108</v>
      </c>
      <c r="N6" s="84">
        <f t="shared" si="7"/>
        <v>0.39620984658397096</v>
      </c>
      <c r="O6" s="7">
        <v>10.647382920109999</v>
      </c>
      <c r="P6" s="68">
        <f t="shared" si="8"/>
        <v>1219.9617955165784</v>
      </c>
    </row>
    <row r="7" spans="1:20" x14ac:dyDescent="0.25">
      <c r="A7" s="8">
        <v>1800</v>
      </c>
      <c r="B7" s="8">
        <v>30</v>
      </c>
      <c r="C7" s="64">
        <f t="shared" si="0"/>
        <v>0.5</v>
      </c>
      <c r="D7" s="82">
        <v>6.3145454545454532E-2</v>
      </c>
      <c r="E7" s="83">
        <f t="shared" si="1"/>
        <v>9.5674931129476573</v>
      </c>
      <c r="F7" s="66">
        <f t="shared" si="2"/>
        <v>43563672886309.828</v>
      </c>
      <c r="G7" s="66">
        <f t="shared" si="9"/>
        <v>3502480170709.8652</v>
      </c>
      <c r="H7" s="66">
        <f t="shared" si="10"/>
        <v>40061192715599.961</v>
      </c>
      <c r="I7" s="7">
        <f t="shared" si="3"/>
        <v>91.960089821052378</v>
      </c>
      <c r="J7" s="7">
        <f t="shared" si="11"/>
        <v>4.0061192715599958</v>
      </c>
      <c r="K7" s="8">
        <f t="shared" si="4"/>
        <v>1800</v>
      </c>
      <c r="L7" s="8">
        <f t="shared" si="5"/>
        <v>-14.115305281073704</v>
      </c>
      <c r="M7" s="8">
        <f t="shared" si="6"/>
        <v>613.41186375740233</v>
      </c>
      <c r="N7" s="84">
        <f t="shared" si="7"/>
        <v>0.5560400431464565</v>
      </c>
      <c r="O7" s="7">
        <v>9.5674931129476573</v>
      </c>
      <c r="P7" s="68">
        <f t="shared" si="8"/>
        <v>1671.486450911319</v>
      </c>
    </row>
    <row r="8" spans="1:20" x14ac:dyDescent="0.25">
      <c r="A8" s="8">
        <v>2400</v>
      </c>
      <c r="B8" s="8">
        <v>40</v>
      </c>
      <c r="C8" s="64">
        <f t="shared" si="0"/>
        <v>0.66666666666666663</v>
      </c>
      <c r="D8" s="82">
        <v>7.4880000000000002E-2</v>
      </c>
      <c r="E8" s="83">
        <f t="shared" si="1"/>
        <v>8.5090909090909097</v>
      </c>
      <c r="F8" s="66">
        <f t="shared" si="2"/>
        <v>48982334866017.219</v>
      </c>
      <c r="G8" s="66">
        <f t="shared" si="9"/>
        <v>3502480170709.8652</v>
      </c>
      <c r="H8" s="66">
        <f t="shared" si="10"/>
        <v>45479854695307.352</v>
      </c>
      <c r="I8" s="7">
        <f t="shared" si="3"/>
        <v>92.849503437738719</v>
      </c>
      <c r="J8" s="7">
        <f t="shared" si="11"/>
        <v>4.5479854695307349</v>
      </c>
      <c r="K8" s="8">
        <f t="shared" si="4"/>
        <v>2400</v>
      </c>
      <c r="L8" s="8">
        <f t="shared" si="5"/>
        <v>-14.620775036644925</v>
      </c>
      <c r="M8" s="8">
        <f t="shared" si="6"/>
        <v>650.4436355879908</v>
      </c>
      <c r="N8" s="84">
        <f t="shared" si="7"/>
        <v>0.85456830800632688</v>
      </c>
      <c r="O8" s="7">
        <v>8.5090909090909097</v>
      </c>
      <c r="P8" s="68">
        <f t="shared" si="8"/>
        <v>2514.8369241977957</v>
      </c>
    </row>
    <row r="9" spans="1:20" x14ac:dyDescent="0.25">
      <c r="A9" s="8">
        <v>3000</v>
      </c>
      <c r="B9" s="8">
        <v>50</v>
      </c>
      <c r="C9" s="64">
        <f t="shared" si="0"/>
        <v>0.83333333333333337</v>
      </c>
      <c r="D9" s="82">
        <v>8.9878787878787822E-2</v>
      </c>
      <c r="E9" s="83">
        <f t="shared" si="1"/>
        <v>8.1707988980716202</v>
      </c>
      <c r="F9" s="66">
        <f t="shared" si="2"/>
        <v>51010329040510.5</v>
      </c>
      <c r="G9" s="66">
        <f t="shared" si="9"/>
        <v>3502480170709.8652</v>
      </c>
      <c r="H9" s="66">
        <f t="shared" si="10"/>
        <v>47507848869800.633</v>
      </c>
      <c r="I9" s="7">
        <f t="shared" si="3"/>
        <v>93.133782438595262</v>
      </c>
      <c r="J9" s="7">
        <f t="shared" si="11"/>
        <v>4.7507848869800631</v>
      </c>
      <c r="K9" s="8">
        <f t="shared" si="4"/>
        <v>3000</v>
      </c>
      <c r="L9" s="8">
        <f t="shared" si="5"/>
        <v>-14.85679864712742</v>
      </c>
      <c r="M9" s="8">
        <f t="shared" si="6"/>
        <v>663.77209324694616</v>
      </c>
      <c r="N9" s="84">
        <f t="shared" si="7"/>
        <v>1.0164502645683604</v>
      </c>
      <c r="O9" s="7">
        <v>8.1707988980716202</v>
      </c>
      <c r="P9" s="68">
        <f t="shared" si="8"/>
        <v>2972.1578574341047</v>
      </c>
    </row>
    <row r="10" spans="1:20" x14ac:dyDescent="0.25">
      <c r="A10" s="8">
        <v>3600</v>
      </c>
      <c r="B10" s="8">
        <v>60</v>
      </c>
      <c r="C10" s="64">
        <f t="shared" si="0"/>
        <v>1</v>
      </c>
      <c r="D10" s="82">
        <v>0.10343999999999952</v>
      </c>
      <c r="E10" s="83">
        <f t="shared" si="1"/>
        <v>7.8363636363635996</v>
      </c>
      <c r="F10" s="66">
        <f t="shared" si="2"/>
        <v>53187314889318.266</v>
      </c>
      <c r="G10" s="66">
        <f t="shared" si="9"/>
        <v>3502480170709.8652</v>
      </c>
      <c r="H10" s="66">
        <f t="shared" si="10"/>
        <v>49684834718608.398</v>
      </c>
      <c r="I10" s="7">
        <f t="shared" si="3"/>
        <v>93.414820473644028</v>
      </c>
      <c r="J10" s="7">
        <f t="shared" si="11"/>
        <v>4.9684834718608402</v>
      </c>
      <c r="K10" s="8">
        <f t="shared" si="4"/>
        <v>3600</v>
      </c>
      <c r="L10" s="8">
        <f t="shared" si="5"/>
        <v>-15.162195780989158</v>
      </c>
      <c r="M10" s="8">
        <f t="shared" si="6"/>
        <v>677.78813189679067</v>
      </c>
      <c r="N10" s="84">
        <f t="shared" si="7"/>
        <v>1.2440158415988209</v>
      </c>
      <c r="O10" s="7">
        <v>7.8363636363635996</v>
      </c>
      <c r="P10" s="68">
        <f t="shared" si="8"/>
        <v>3615.036806207801</v>
      </c>
    </row>
    <row r="11" spans="1:20" x14ac:dyDescent="0.25">
      <c r="A11" s="8">
        <v>4200</v>
      </c>
      <c r="B11" s="8">
        <v>70</v>
      </c>
      <c r="C11" s="64">
        <f t="shared" si="0"/>
        <v>1.1666666666666667</v>
      </c>
      <c r="D11" s="82">
        <v>0.1163824242424228</v>
      </c>
      <c r="E11" s="83">
        <f t="shared" si="1"/>
        <v>7.5573002754819996</v>
      </c>
      <c r="F11" s="66">
        <f t="shared" si="2"/>
        <v>55151327209621.953</v>
      </c>
      <c r="G11" s="66">
        <f t="shared" si="9"/>
        <v>3502480170709.8652</v>
      </c>
      <c r="H11" s="66">
        <f t="shared" si="10"/>
        <v>51648847038912.086</v>
      </c>
      <c r="I11" s="7">
        <f t="shared" si="3"/>
        <v>93.64932749959496</v>
      </c>
      <c r="J11" s="7">
        <f t="shared" si="11"/>
        <v>5.1648847038912091</v>
      </c>
      <c r="K11" s="8">
        <f t="shared" si="4"/>
        <v>4200</v>
      </c>
      <c r="L11" s="8">
        <f t="shared" si="5"/>
        <v>-15.516058728027517</v>
      </c>
      <c r="M11" s="8">
        <f t="shared" si="6"/>
        <v>690.18880577235109</v>
      </c>
      <c r="N11" s="84">
        <f t="shared" si="7"/>
        <v>1.5291038850047416</v>
      </c>
      <c r="O11" s="7">
        <v>7.5573002754819996</v>
      </c>
      <c r="P11" s="68">
        <f t="shared" si="8"/>
        <v>4420.4182880837525</v>
      </c>
    </row>
    <row r="12" spans="1:20" x14ac:dyDescent="0.25">
      <c r="A12" s="8">
        <v>4800</v>
      </c>
      <c r="B12" s="8">
        <v>80</v>
      </c>
      <c r="C12" s="64">
        <f t="shared" si="0"/>
        <v>1.3333333333333333</v>
      </c>
      <c r="D12" s="82">
        <v>0.13089454545454549</v>
      </c>
      <c r="E12" s="83">
        <f t="shared" si="1"/>
        <v>7.4371900826446309</v>
      </c>
      <c r="F12" s="66">
        <f t="shared" si="2"/>
        <v>56042017977610.094</v>
      </c>
      <c r="G12" s="66">
        <f t="shared" si="9"/>
        <v>3502480170709.8652</v>
      </c>
      <c r="H12" s="66">
        <f t="shared" si="10"/>
        <v>52539537806900.227</v>
      </c>
      <c r="I12" s="7">
        <f t="shared" si="3"/>
        <v>93.75026043475242</v>
      </c>
      <c r="J12" s="7">
        <f t="shared" si="11"/>
        <v>5.2539537806900229</v>
      </c>
      <c r="K12" s="8">
        <f t="shared" si="4"/>
        <v>4800</v>
      </c>
      <c r="L12" s="8">
        <f t="shared" si="5"/>
        <v>-15.717847679127438</v>
      </c>
      <c r="M12" s="8">
        <f t="shared" si="6"/>
        <v>695.73973851847086</v>
      </c>
      <c r="N12" s="84">
        <f t="shared" si="7"/>
        <v>1.7001266239495738</v>
      </c>
      <c r="O12" s="7">
        <v>7.4371900826446309</v>
      </c>
      <c r="P12" s="68">
        <f t="shared" si="8"/>
        <v>4903.5621803365566</v>
      </c>
    </row>
    <row r="13" spans="1:20" x14ac:dyDescent="0.25">
      <c r="A13" s="8">
        <v>5400</v>
      </c>
      <c r="B13" s="8">
        <v>90</v>
      </c>
      <c r="C13" s="64">
        <f t="shared" si="0"/>
        <v>1.5</v>
      </c>
      <c r="D13" s="82">
        <v>0.14647909090909089</v>
      </c>
      <c r="E13" s="83">
        <f t="shared" si="1"/>
        <v>7.3979338842975206</v>
      </c>
      <c r="F13" s="66">
        <f t="shared" si="2"/>
        <v>56339397841759.867</v>
      </c>
      <c r="G13" s="66">
        <f t="shared" si="9"/>
        <v>3502480170709.8652</v>
      </c>
      <c r="H13" s="66">
        <f t="shared" si="10"/>
        <v>52836917671050</v>
      </c>
      <c r="I13" s="7">
        <f t="shared" si="3"/>
        <v>93.783248836724766</v>
      </c>
      <c r="J13" s="7">
        <f t="shared" si="11"/>
        <v>5.2836917671050001</v>
      </c>
      <c r="K13" s="8">
        <f t="shared" si="4"/>
        <v>5400</v>
      </c>
      <c r="L13" s="8">
        <f t="shared" si="5"/>
        <v>-15.793732376652317</v>
      </c>
      <c r="M13" s="8">
        <f t="shared" si="6"/>
        <v>697.58322356221652</v>
      </c>
      <c r="N13" s="84">
        <f t="shared" si="7"/>
        <v>1.7657958848518998</v>
      </c>
      <c r="O13" s="7">
        <v>7.3979338842975206</v>
      </c>
      <c r="P13" s="68">
        <f t="shared" si="8"/>
        <v>5089.0796297088837</v>
      </c>
    </row>
    <row r="14" spans="1:20" x14ac:dyDescent="0.25">
      <c r="A14" s="8">
        <v>6000</v>
      </c>
      <c r="B14" s="8">
        <v>100</v>
      </c>
      <c r="C14" s="64">
        <f t="shared" si="0"/>
        <v>1.6666666666666667</v>
      </c>
      <c r="D14" s="82">
        <v>0.16039393939393923</v>
      </c>
      <c r="E14" s="83">
        <f t="shared" si="1"/>
        <v>7.2906336088154191</v>
      </c>
      <c r="F14" s="66">
        <f t="shared" si="2"/>
        <v>57168575830022.359</v>
      </c>
      <c r="G14" s="66">
        <f t="shared" si="9"/>
        <v>3502480170709.8652</v>
      </c>
      <c r="H14" s="66">
        <f t="shared" si="10"/>
        <v>53666095659312.492</v>
      </c>
      <c r="I14" s="7">
        <f t="shared" si="3"/>
        <v>93.873417135449216</v>
      </c>
      <c r="J14" s="7">
        <f t="shared" si="11"/>
        <v>5.3666095659312498</v>
      </c>
      <c r="K14" s="8">
        <f t="shared" si="4"/>
        <v>6000</v>
      </c>
      <c r="L14" s="8">
        <f t="shared" si="5"/>
        <v>-16.036429623593182</v>
      </c>
      <c r="M14" s="8">
        <f t="shared" si="6"/>
        <v>702.69783217273493</v>
      </c>
      <c r="N14" s="84">
        <f t="shared" si="7"/>
        <v>1.9801558774645345</v>
      </c>
      <c r="O14" s="7">
        <v>7.2906336088154191</v>
      </c>
      <c r="P14" s="68">
        <f t="shared" si="8"/>
        <v>5694.6524430852314</v>
      </c>
    </row>
    <row r="15" spans="1:20" x14ac:dyDescent="0.25">
      <c r="A15" s="8">
        <v>6600</v>
      </c>
      <c r="B15" s="8">
        <v>110</v>
      </c>
      <c r="C15" s="64">
        <f t="shared" si="0"/>
        <v>1.8333333333333333</v>
      </c>
      <c r="D15" s="82">
        <v>0.17373626666666656</v>
      </c>
      <c r="E15" s="83">
        <f t="shared" si="1"/>
        <v>7.1791845730027504</v>
      </c>
      <c r="F15" s="66">
        <f t="shared" si="2"/>
        <v>58056055820298.555</v>
      </c>
      <c r="G15" s="66">
        <f t="shared" si="9"/>
        <v>3502480170709.8652</v>
      </c>
      <c r="H15" s="66">
        <f t="shared" si="10"/>
        <v>54553575649588.688</v>
      </c>
      <c r="I15" s="7">
        <f t="shared" si="3"/>
        <v>93.967071787392641</v>
      </c>
      <c r="J15" s="7">
        <f t="shared" si="11"/>
        <v>5.4553575649588693</v>
      </c>
      <c r="K15" s="8">
        <f t="shared" si="4"/>
        <v>6600</v>
      </c>
      <c r="L15" s="8">
        <f t="shared" si="5"/>
        <v>-16.372326567334976</v>
      </c>
      <c r="M15" s="8">
        <f t="shared" si="6"/>
        <v>708.13113680453716</v>
      </c>
      <c r="N15" s="84">
        <f t="shared" si="7"/>
        <v>2.2859560330514617</v>
      </c>
      <c r="O15" s="7">
        <v>7.1791845730027504</v>
      </c>
      <c r="P15" s="68">
        <f t="shared" si="8"/>
        <v>6558.5462055950238</v>
      </c>
    </row>
    <row r="16" spans="1:20" x14ac:dyDescent="0.25">
      <c r="A16" s="8">
        <v>7200</v>
      </c>
      <c r="B16" s="8">
        <v>120</v>
      </c>
      <c r="C16" s="54">
        <f t="shared" si="0"/>
        <v>2</v>
      </c>
      <c r="D16" s="82">
        <v>0.18728072727272727</v>
      </c>
      <c r="E16" s="83">
        <f t="shared" si="1"/>
        <v>7.0939669421487599</v>
      </c>
      <c r="F16" s="66">
        <f t="shared" si="2"/>
        <v>58753465263291.289</v>
      </c>
      <c r="G16" s="66">
        <f t="shared" si="9"/>
        <v>3502480170709.8652</v>
      </c>
      <c r="H16" s="66">
        <f t="shared" si="10"/>
        <v>55250985092581.422</v>
      </c>
      <c r="I16" s="7">
        <f t="shared" si="3"/>
        <v>94.038683241891789</v>
      </c>
      <c r="J16" s="7">
        <f t="shared" si="11"/>
        <v>5.5250985092581422</v>
      </c>
      <c r="K16" s="8">
        <f t="shared" si="4"/>
        <v>7200</v>
      </c>
      <c r="L16" s="8">
        <f t="shared" si="5"/>
        <v>-16.736511939160152</v>
      </c>
      <c r="M16" s="8">
        <f t="shared" si="6"/>
        <v>712.37171978740105</v>
      </c>
      <c r="N16" s="84">
        <f t="shared" si="7"/>
        <v>2.6266547533913465</v>
      </c>
      <c r="O16" s="7">
        <v>7.12</v>
      </c>
      <c r="P16" s="68">
        <f t="shared" si="8"/>
        <v>7185.6409486624461</v>
      </c>
    </row>
    <row r="17" spans="2:14" x14ac:dyDescent="0.25">
      <c r="B17" s="62"/>
      <c r="C17" s="54"/>
      <c r="D17" s="85"/>
      <c r="F17" s="83"/>
      <c r="G17" s="82"/>
      <c r="K17" s="9"/>
      <c r="L17" s="9" t="s">
        <v>107</v>
      </c>
      <c r="M17" s="9" t="s">
        <v>108</v>
      </c>
      <c r="N17" s="9" t="s">
        <v>92</v>
      </c>
    </row>
    <row r="18" spans="2:14" x14ac:dyDescent="0.25">
      <c r="B18" s="62"/>
      <c r="C18" s="54"/>
      <c r="D18" s="85"/>
      <c r="E18" s="85"/>
      <c r="F18" s="82"/>
      <c r="G18" s="82"/>
      <c r="I18" s="86"/>
      <c r="K18" s="9" t="s">
        <v>128</v>
      </c>
      <c r="L18" s="46">
        <f>SLOPE(L5:L16,K5:K16)</f>
        <v>-4.9731704456526201E-4</v>
      </c>
      <c r="M18" s="46">
        <f>SLOPE(M5:M16,K5:K16)</f>
        <v>2.553548500424295E-2</v>
      </c>
      <c r="N18" s="46">
        <f>SLOPE(N5:N16,K5:K16)</f>
        <v>3.5397889052759634E-4</v>
      </c>
    </row>
    <row r="19" spans="2:14" x14ac:dyDescent="0.25">
      <c r="B19" s="62"/>
      <c r="C19" s="54"/>
      <c r="D19" s="85"/>
      <c r="E19" s="85"/>
      <c r="F19" s="82"/>
      <c r="G19" s="82"/>
      <c r="I19" s="86"/>
      <c r="K19" s="9" t="s">
        <v>127</v>
      </c>
      <c r="L19" s="35">
        <f>INTERCEPT(L5:L16,K5:K16)</f>
        <v>-13.212896892689658</v>
      </c>
      <c r="M19" s="35">
        <f>INTERCEPT(M5:M16,K5:K16)</f>
        <v>558.68994135871742</v>
      </c>
      <c r="N19" s="35">
        <f>INTERCEPT(N5:N16,K5:K16)</f>
        <v>-3.5630876279041823E-2</v>
      </c>
    </row>
    <row r="20" spans="2:14" x14ac:dyDescent="0.25">
      <c r="B20" s="62"/>
      <c r="C20" s="54"/>
      <c r="D20" s="85"/>
      <c r="K20" s="9" t="s">
        <v>109</v>
      </c>
      <c r="L20" s="46">
        <f>RSQ(L5:L16,K5:K16)</f>
        <v>0.9725783127532811</v>
      </c>
      <c r="M20" s="46">
        <f>RSQ(M5:M16,K5:K16)</f>
        <v>0.78058793276752769</v>
      </c>
      <c r="N20" s="46">
        <f>RSQ(N5:N16,K5:K16)</f>
        <v>0.99256790467602074</v>
      </c>
    </row>
    <row r="21" spans="2:14" x14ac:dyDescent="0.25">
      <c r="B21" s="62"/>
      <c r="C21" s="54"/>
      <c r="D21" s="85"/>
      <c r="E21" s="54"/>
      <c r="F21" s="54"/>
      <c r="G21" s="54"/>
      <c r="H21" s="54"/>
      <c r="I21" s="54"/>
      <c r="J21" s="54"/>
      <c r="K21" s="9" t="s">
        <v>119</v>
      </c>
      <c r="L21" s="38">
        <f>119/3600000</f>
        <v>3.3055555555555553E-5</v>
      </c>
      <c r="M21" s="9">
        <f>L21*3600000</f>
        <v>118.99999999999999</v>
      </c>
      <c r="N21" s="9"/>
    </row>
    <row r="22" spans="2:14" x14ac:dyDescent="0.25">
      <c r="E22" s="54"/>
      <c r="F22" s="54"/>
      <c r="G22" s="54"/>
      <c r="H22" s="54"/>
      <c r="I22" s="54"/>
      <c r="J22" s="54"/>
      <c r="K22" s="9" t="s">
        <v>120</v>
      </c>
      <c r="L22" s="38">
        <f>6.9/3600000</f>
        <v>1.9166666666666668E-6</v>
      </c>
      <c r="M22" s="35">
        <f>L22*3600000</f>
        <v>6.9</v>
      </c>
      <c r="N22" s="9"/>
    </row>
    <row r="23" spans="2:14" x14ac:dyDescent="0.25">
      <c r="K23" s="9" t="s">
        <v>112</v>
      </c>
      <c r="L23" s="47">
        <f>L18*-1</f>
        <v>4.9731704456526201E-4</v>
      </c>
      <c r="M23" s="47">
        <f>M18</f>
        <v>2.553548500424295E-2</v>
      </c>
      <c r="N23" s="37">
        <f>N18/(L22^2)</f>
        <v>96357202.714506358</v>
      </c>
    </row>
    <row r="24" spans="2:14" x14ac:dyDescent="0.25">
      <c r="E24" s="108"/>
      <c r="F24" s="108"/>
      <c r="G24" s="108"/>
      <c r="H24" s="108"/>
      <c r="I24" s="108"/>
    </row>
    <row r="26" spans="2:14" x14ac:dyDescent="0.25">
      <c r="E26" s="77"/>
      <c r="F26" s="77"/>
      <c r="G26" s="77"/>
      <c r="H26" s="77"/>
      <c r="I26" s="77"/>
    </row>
    <row r="27" spans="2:14" x14ac:dyDescent="0.25">
      <c r="E27" s="77"/>
      <c r="F27" s="77"/>
      <c r="G27" s="77"/>
      <c r="H27" s="77"/>
      <c r="I27" s="77"/>
    </row>
    <row r="29" spans="2:14" x14ac:dyDescent="0.25">
      <c r="E29" s="110"/>
      <c r="F29" s="110"/>
      <c r="G29" s="54"/>
    </row>
    <row r="30" spans="2:14" x14ac:dyDescent="0.25">
      <c r="E30" s="65"/>
      <c r="F30" s="65"/>
      <c r="G30" s="87"/>
    </row>
    <row r="31" spans="2:14" x14ac:dyDescent="0.25">
      <c r="E31" s="65"/>
      <c r="F31" s="82"/>
    </row>
    <row r="32" spans="2:14" x14ac:dyDescent="0.25">
      <c r="E32" s="108"/>
      <c r="F32" s="108"/>
      <c r="G32" s="108"/>
      <c r="H32" s="108"/>
      <c r="I32" s="108"/>
    </row>
    <row r="33" spans="5:15" x14ac:dyDescent="0.25">
      <c r="M33" s="66"/>
      <c r="O33" s="66"/>
    </row>
    <row r="34" spans="5:15" x14ac:dyDescent="0.25">
      <c r="E34" s="109"/>
      <c r="F34" s="109"/>
      <c r="G34" s="54"/>
      <c r="H34" s="54"/>
    </row>
    <row r="35" spans="5:15" x14ac:dyDescent="0.25">
      <c r="E35" s="109"/>
      <c r="F35" s="109"/>
      <c r="G35" s="54"/>
      <c r="H35" s="54"/>
    </row>
  </sheetData>
  <mergeCells count="5">
    <mergeCell ref="E24:I24"/>
    <mergeCell ref="E29:F29"/>
    <mergeCell ref="E32:I32"/>
    <mergeCell ref="E34:F34"/>
    <mergeCell ref="E35:F3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A8F30-EC07-4BBF-A1E2-E80398E55011}">
  <dimension ref="A1:T38"/>
  <sheetViews>
    <sheetView zoomScaleNormal="100" workbookViewId="0">
      <selection activeCell="Q19" sqref="Q19"/>
    </sheetView>
  </sheetViews>
  <sheetFormatPr baseColWidth="10" defaultColWidth="10.7109375" defaultRowHeight="15" x14ac:dyDescent="0.25"/>
  <cols>
    <col min="1" max="1" width="7.28515625" customWidth="1"/>
    <col min="2" max="2" width="6.5703125" bestFit="1" customWidth="1"/>
    <col min="3" max="3" width="4.5703125" bestFit="1" customWidth="1"/>
    <col min="4" max="4" width="6.85546875" bestFit="1" customWidth="1"/>
    <col min="5" max="5" width="11.140625" bestFit="1" customWidth="1"/>
    <col min="6" max="6" width="8.85546875" bestFit="1" customWidth="1"/>
    <col min="7" max="7" width="9.140625" bestFit="1" customWidth="1"/>
    <col min="8" max="8" width="7.7109375" bestFit="1" customWidth="1"/>
    <col min="9" max="9" width="8.85546875" bestFit="1" customWidth="1"/>
    <col min="10" max="10" width="14.28515625" bestFit="1" customWidth="1"/>
    <col min="11" max="11" width="8.7109375" bestFit="1" customWidth="1"/>
    <col min="12" max="12" width="14.85546875" customWidth="1"/>
    <col min="13" max="13" width="13.7109375" customWidth="1"/>
    <col min="14" max="14" width="13.42578125" bestFit="1" customWidth="1"/>
    <col min="15" max="15" width="11.140625" bestFit="1" customWidth="1"/>
    <col min="16" max="16" width="5" bestFit="1" customWidth="1"/>
    <col min="17" max="17" width="11.85546875" bestFit="1" customWidth="1"/>
    <col min="18" max="18" width="12.28515625" bestFit="1" customWidth="1"/>
  </cols>
  <sheetData>
    <row r="1" spans="1:18" ht="15.75" x14ac:dyDescent="0.25">
      <c r="A1" s="93" t="s">
        <v>113</v>
      </c>
    </row>
    <row r="2" spans="1:18" x14ac:dyDescent="0.25">
      <c r="O2" t="s">
        <v>92</v>
      </c>
    </row>
    <row r="3" spans="1:18" x14ac:dyDescent="0.25">
      <c r="A3" s="9" t="s">
        <v>93</v>
      </c>
      <c r="B3" s="54" t="s">
        <v>114</v>
      </c>
      <c r="C3" s="54" t="s">
        <v>115</v>
      </c>
      <c r="D3" s="54" t="s">
        <v>96</v>
      </c>
      <c r="E3" s="55" t="s">
        <v>97</v>
      </c>
      <c r="F3" s="54" t="s">
        <v>116</v>
      </c>
      <c r="G3" s="54" t="s">
        <v>99</v>
      </c>
      <c r="H3" s="54" t="s">
        <v>100</v>
      </c>
      <c r="I3" s="54" t="s">
        <v>101</v>
      </c>
      <c r="J3" s="54" t="s">
        <v>117</v>
      </c>
      <c r="K3" s="54" t="s">
        <v>103</v>
      </c>
      <c r="L3" s="8" t="s">
        <v>104</v>
      </c>
      <c r="M3" s="8" t="s">
        <v>105</v>
      </c>
      <c r="N3" s="8" t="s">
        <v>106</v>
      </c>
      <c r="O3" s="8" t="s">
        <v>97</v>
      </c>
      <c r="P3" s="8" t="s">
        <v>103</v>
      </c>
    </row>
    <row r="4" spans="1:18" s="3" customFormat="1" x14ac:dyDescent="0.25">
      <c r="A4" s="56"/>
      <c r="B4" s="57"/>
      <c r="C4" s="58"/>
      <c r="D4" s="58"/>
      <c r="E4" s="59"/>
      <c r="F4" s="60"/>
      <c r="G4" s="60"/>
      <c r="H4" s="60"/>
      <c r="I4" s="12"/>
      <c r="J4" s="12"/>
      <c r="K4" s="56"/>
      <c r="L4" s="56"/>
      <c r="M4" s="56"/>
      <c r="N4" s="56"/>
      <c r="O4" s="61"/>
      <c r="P4" s="12"/>
    </row>
    <row r="5" spans="1:18" x14ac:dyDescent="0.25">
      <c r="A5" s="9">
        <v>600</v>
      </c>
      <c r="B5" s="62">
        <f>A5/60</f>
        <v>10</v>
      </c>
      <c r="C5" s="63">
        <f t="shared" ref="C5:C16" si="0">($B5/60)</f>
        <v>0.16666666666666666</v>
      </c>
      <c r="D5" s="64">
        <v>2.4633999999999941E-2</v>
      </c>
      <c r="E5" s="65">
        <f>D5/(0.0132*C5)</f>
        <v>11.197272727272702</v>
      </c>
      <c r="F5" s="66">
        <f t="shared" ref="F5:F16" si="1">100000/((E5/3600000)*(0.479/((25+42.5)^1.5)))</f>
        <v>37222915835505.586</v>
      </c>
      <c r="G5" s="66">
        <f>100000/((96.6/3600000)*(0.479/((25+42.5)^1.5)))</f>
        <v>4314649485657.0796</v>
      </c>
      <c r="H5" s="67">
        <f t="shared" ref="H5:H16" si="2">(F5-G5)</f>
        <v>32908266349848.508</v>
      </c>
      <c r="I5" s="68">
        <f t="shared" ref="I5:I16" si="3">H5*100/F5</f>
        <v>88.408620365142141</v>
      </c>
      <c r="J5" s="7">
        <f>(F5-G5)*0.0000000000001</f>
        <v>3.290826634984851</v>
      </c>
      <c r="K5" s="8">
        <f>A5</f>
        <v>600</v>
      </c>
      <c r="L5" s="8">
        <f t="shared" ref="L5:L16" si="4">LN((E5/3600000)-L$22)</f>
        <v>-13.461870517720701</v>
      </c>
      <c r="M5" s="8">
        <f t="shared" ref="M5:M16" si="5">1/((E5/3600000)^0.5)</f>
        <v>567.01574972552169</v>
      </c>
      <c r="N5" s="8">
        <f t="shared" ref="N5:N16" si="6">(LN(E5/(E5-M$22)))-(M$22/E5)</f>
        <v>0.23900006676845231</v>
      </c>
      <c r="O5" s="7">
        <v>11.197272727272702</v>
      </c>
      <c r="P5" s="68">
        <f>((LN(O5/(O5-M$22)))-(M$22/O5)-N$19)/N$18</f>
        <v>581.76836546987579</v>
      </c>
    </row>
    <row r="6" spans="1:18" x14ac:dyDescent="0.25">
      <c r="A6" s="8">
        <v>1200</v>
      </c>
      <c r="B6" s="62">
        <f t="shared" ref="B6:B16" si="7">A6/60</f>
        <v>20</v>
      </c>
      <c r="C6" s="63">
        <f t="shared" si="0"/>
        <v>0.33333333333333331</v>
      </c>
      <c r="D6" s="64">
        <v>4.0004000000000005E-2</v>
      </c>
      <c r="E6" s="65">
        <f t="shared" ref="E6:E16" si="8">D6/(0.0132*C6)</f>
        <v>9.0918181818181836</v>
      </c>
      <c r="F6" s="66">
        <f t="shared" si="1"/>
        <v>45842881146477.469</v>
      </c>
      <c r="G6" s="66">
        <f t="shared" ref="G6:G16" si="9">100000/((96.6/3600000)*(0.479/((25+42.5)^1.5)))</f>
        <v>4314649485657.0796</v>
      </c>
      <c r="H6" s="67">
        <f t="shared" si="2"/>
        <v>41528231660820.391</v>
      </c>
      <c r="I6" s="68">
        <f t="shared" si="3"/>
        <v>90.588179936006028</v>
      </c>
      <c r="J6" s="7">
        <f t="shared" ref="J6:J16" si="10">(F6-G6)*0.0000000000001</f>
        <v>4.1528231660820394</v>
      </c>
      <c r="K6" s="8">
        <f t="shared" ref="K6:K16" si="11">B6*60</f>
        <v>1200</v>
      </c>
      <c r="L6" s="8">
        <f t="shared" si="4"/>
        <v>-13.990585706237461</v>
      </c>
      <c r="M6" s="8">
        <f t="shared" si="5"/>
        <v>629.25384699626909</v>
      </c>
      <c r="N6" s="8">
        <f t="shared" si="6"/>
        <v>0.43388297432484468</v>
      </c>
      <c r="O6" s="7">
        <v>9.0918181818181836</v>
      </c>
      <c r="P6" s="68">
        <f t="shared" ref="P6:P14" si="12">((LN(E6/(E6-M$22)))-(M$22/E6)-N$19)/N$18</f>
        <v>1094.166959644496</v>
      </c>
    </row>
    <row r="7" spans="1:18" x14ac:dyDescent="0.25">
      <c r="A7" s="8">
        <v>1800</v>
      </c>
      <c r="B7" s="62">
        <f t="shared" si="7"/>
        <v>30</v>
      </c>
      <c r="C7" s="54">
        <f t="shared" si="0"/>
        <v>0.5</v>
      </c>
      <c r="D7" s="64">
        <v>5.1048000000000024E-2</v>
      </c>
      <c r="E7" s="65">
        <f t="shared" si="8"/>
        <v>7.7345454545454579</v>
      </c>
      <c r="F7" s="66">
        <f t="shared" si="1"/>
        <v>53887477003516.82</v>
      </c>
      <c r="G7" s="66">
        <f t="shared" si="9"/>
        <v>4314649485657.0796</v>
      </c>
      <c r="H7" s="67">
        <f t="shared" si="2"/>
        <v>49572827517859.742</v>
      </c>
      <c r="I7" s="68">
        <f t="shared" si="3"/>
        <v>91.9932241671372</v>
      </c>
      <c r="J7" s="7">
        <f t="shared" si="10"/>
        <v>4.9572827517859741</v>
      </c>
      <c r="K7" s="8">
        <f t="shared" si="11"/>
        <v>1800</v>
      </c>
      <c r="L7" s="8">
        <f t="shared" si="4"/>
        <v>-14.586892317538288</v>
      </c>
      <c r="M7" s="8">
        <f t="shared" si="5"/>
        <v>682.23477464080941</v>
      </c>
      <c r="N7" s="8">
        <f t="shared" si="6"/>
        <v>0.75135384650222137</v>
      </c>
      <c r="O7" s="7">
        <v>7.7345454545454579</v>
      </c>
      <c r="P7" s="68">
        <f t="shared" si="12"/>
        <v>1928.8816641549818</v>
      </c>
    </row>
    <row r="8" spans="1:18" x14ac:dyDescent="0.25">
      <c r="A8" s="8">
        <v>2400</v>
      </c>
      <c r="B8" s="62">
        <f t="shared" si="7"/>
        <v>40</v>
      </c>
      <c r="C8" s="63">
        <f t="shared" si="0"/>
        <v>0.66666666666666663</v>
      </c>
      <c r="D8" s="64">
        <v>6.3968000000000025E-2</v>
      </c>
      <c r="E8" s="65">
        <f t="shared" si="8"/>
        <v>7.269090909090913</v>
      </c>
      <c r="F8" s="66">
        <f t="shared" si="1"/>
        <v>57338000793636.945</v>
      </c>
      <c r="G8" s="66">
        <f t="shared" si="9"/>
        <v>4314649485657.0796</v>
      </c>
      <c r="H8" s="67">
        <f t="shared" si="2"/>
        <v>53023351307979.867</v>
      </c>
      <c r="I8" s="68">
        <f t="shared" si="3"/>
        <v>92.475061170713346</v>
      </c>
      <c r="J8" s="7">
        <f t="shared" si="10"/>
        <v>5.3023351307979869</v>
      </c>
      <c r="K8" s="8">
        <f t="shared" si="11"/>
        <v>2400</v>
      </c>
      <c r="L8" s="8">
        <f t="shared" si="4"/>
        <v>-14.914880709495483</v>
      </c>
      <c r="M8" s="8">
        <f t="shared" si="5"/>
        <v>703.73832055097409</v>
      </c>
      <c r="N8" s="8">
        <f t="shared" si="6"/>
        <v>0.96702502164234361</v>
      </c>
      <c r="O8" s="7">
        <v>7.269090909090913</v>
      </c>
      <c r="P8" s="68">
        <f t="shared" si="12"/>
        <v>2495.9380998960655</v>
      </c>
    </row>
    <row r="9" spans="1:18" x14ac:dyDescent="0.25">
      <c r="A9" s="8">
        <v>3000</v>
      </c>
      <c r="B9" s="62">
        <f t="shared" si="7"/>
        <v>50</v>
      </c>
      <c r="C9" s="63">
        <f t="shared" si="0"/>
        <v>0.83333333333333337</v>
      </c>
      <c r="D9" s="64">
        <v>7.6480000000000006E-2</v>
      </c>
      <c r="E9" s="65">
        <f t="shared" si="8"/>
        <v>6.9527272727272722</v>
      </c>
      <c r="F9" s="66">
        <f t="shared" si="1"/>
        <v>59946999783724.023</v>
      </c>
      <c r="G9" s="66">
        <f t="shared" si="9"/>
        <v>4314649485657.0796</v>
      </c>
      <c r="H9" s="67">
        <f t="shared" si="2"/>
        <v>55632350298066.945</v>
      </c>
      <c r="I9" s="68">
        <f t="shared" si="3"/>
        <v>92.802559759081504</v>
      </c>
      <c r="J9" s="7">
        <f t="shared" si="10"/>
        <v>5.5632350298066946</v>
      </c>
      <c r="K9" s="8">
        <f t="shared" si="11"/>
        <v>3000</v>
      </c>
      <c r="L9" s="8">
        <f t="shared" si="4"/>
        <v>-15.221183393921477</v>
      </c>
      <c r="M9" s="8">
        <f t="shared" si="5"/>
        <v>719.57100190199628</v>
      </c>
      <c r="N9" s="8">
        <f t="shared" si="6"/>
        <v>1.1908342835110428</v>
      </c>
      <c r="O9" s="7">
        <v>6.9527272727272722</v>
      </c>
      <c r="P9" s="68">
        <f t="shared" si="12"/>
        <v>3084.3917133131199</v>
      </c>
    </row>
    <row r="10" spans="1:18" x14ac:dyDescent="0.25">
      <c r="A10" s="8">
        <v>3600</v>
      </c>
      <c r="B10" s="62">
        <f t="shared" si="7"/>
        <v>60</v>
      </c>
      <c r="C10" s="54">
        <f t="shared" si="0"/>
        <v>1</v>
      </c>
      <c r="D10" s="64">
        <v>9.0084000000000011E-2</v>
      </c>
      <c r="E10" s="65">
        <f t="shared" si="8"/>
        <v>6.8245454545454551</v>
      </c>
      <c r="F10" s="66">
        <f t="shared" si="1"/>
        <v>61072952490465.07</v>
      </c>
      <c r="G10" s="66">
        <f t="shared" si="9"/>
        <v>4314649485657.0796</v>
      </c>
      <c r="H10" s="67">
        <f t="shared" si="2"/>
        <v>56758303004807.992</v>
      </c>
      <c r="I10" s="68">
        <f t="shared" si="3"/>
        <v>92.935253152644449</v>
      </c>
      <c r="J10" s="7">
        <f t="shared" si="10"/>
        <v>5.6758303004807997</v>
      </c>
      <c r="K10" s="8">
        <f t="shared" si="11"/>
        <v>3600</v>
      </c>
      <c r="L10" s="8">
        <f t="shared" si="4"/>
        <v>-15.378084161422157</v>
      </c>
      <c r="M10" s="8">
        <f t="shared" si="5"/>
        <v>726.29722532705807</v>
      </c>
      <c r="N10" s="8">
        <f t="shared" si="6"/>
        <v>1.3127289708732068</v>
      </c>
      <c r="O10" s="7">
        <v>6.8245454545454551</v>
      </c>
      <c r="P10" s="68">
        <f t="shared" si="12"/>
        <v>3404.8850147775102</v>
      </c>
    </row>
    <row r="11" spans="1:18" x14ac:dyDescent="0.25">
      <c r="A11" s="8">
        <v>4200</v>
      </c>
      <c r="B11" s="62">
        <f t="shared" si="7"/>
        <v>70</v>
      </c>
      <c r="C11" s="63">
        <f t="shared" si="0"/>
        <v>1.1666666666666667</v>
      </c>
      <c r="D11" s="64">
        <v>0.10213000000000003</v>
      </c>
      <c r="E11" s="65">
        <f t="shared" si="8"/>
        <v>6.6318181818181836</v>
      </c>
      <c r="F11" s="66">
        <f t="shared" si="1"/>
        <v>62847793604649.922</v>
      </c>
      <c r="G11" s="66">
        <f t="shared" si="9"/>
        <v>4314649485657.0796</v>
      </c>
      <c r="H11" s="67">
        <f t="shared" si="2"/>
        <v>58533144118992.844</v>
      </c>
      <c r="I11" s="68">
        <f t="shared" si="3"/>
        <v>93.134763786937697</v>
      </c>
      <c r="J11" s="7">
        <f t="shared" si="10"/>
        <v>5.8533144118992846</v>
      </c>
      <c r="K11" s="8">
        <f t="shared" si="11"/>
        <v>4200</v>
      </c>
      <c r="L11" s="8">
        <f t="shared" si="4"/>
        <v>-15.673021404755108</v>
      </c>
      <c r="M11" s="8">
        <f t="shared" si="5"/>
        <v>736.77510813855793</v>
      </c>
      <c r="N11" s="8">
        <f t="shared" si="6"/>
        <v>1.553171562100975</v>
      </c>
      <c r="O11" s="7">
        <v>6.6318181818181836</v>
      </c>
      <c r="P11" s="68">
        <f t="shared" si="12"/>
        <v>4037.0720406672008</v>
      </c>
    </row>
    <row r="12" spans="1:18" x14ac:dyDescent="0.25">
      <c r="A12" s="8">
        <v>4800</v>
      </c>
      <c r="B12" s="62">
        <f t="shared" si="7"/>
        <v>80</v>
      </c>
      <c r="C12" s="63">
        <f t="shared" si="0"/>
        <v>1.3333333333333333</v>
      </c>
      <c r="D12" s="64">
        <v>0.11340800000000002</v>
      </c>
      <c r="E12" s="65">
        <f t="shared" si="8"/>
        <v>6.443636363636366</v>
      </c>
      <c r="F12" s="66">
        <f t="shared" si="1"/>
        <v>64683218728262.008</v>
      </c>
      <c r="G12" s="66">
        <f t="shared" si="9"/>
        <v>4314649485657.0796</v>
      </c>
      <c r="H12" s="67">
        <f t="shared" si="2"/>
        <v>60368569242604.93</v>
      </c>
      <c r="I12" s="68">
        <f t="shared" si="3"/>
        <v>93.329568981742895</v>
      </c>
      <c r="J12" s="7">
        <f t="shared" si="10"/>
        <v>6.0368569242604933</v>
      </c>
      <c r="K12" s="8">
        <f t="shared" si="11"/>
        <v>4800</v>
      </c>
      <c r="L12" s="8">
        <f t="shared" si="4"/>
        <v>-16.08091664771656</v>
      </c>
      <c r="M12" s="8">
        <f t="shared" si="5"/>
        <v>747.4561826093842</v>
      </c>
      <c r="N12" s="8">
        <f t="shared" si="6"/>
        <v>1.9055506051024469</v>
      </c>
      <c r="O12" s="7">
        <v>6.443636363636366</v>
      </c>
      <c r="P12" s="68">
        <f t="shared" si="12"/>
        <v>4963.5695386497</v>
      </c>
    </row>
    <row r="13" spans="1:18" x14ac:dyDescent="0.25">
      <c r="A13" s="8">
        <v>5400</v>
      </c>
      <c r="B13" s="62">
        <f t="shared" si="7"/>
        <v>90</v>
      </c>
      <c r="C13" s="54">
        <f t="shared" si="0"/>
        <v>1.5</v>
      </c>
      <c r="D13" s="64">
        <v>0.12619800000000006</v>
      </c>
      <c r="E13" s="65">
        <f t="shared" si="8"/>
        <v>6.3736363636363675</v>
      </c>
      <c r="F13" s="66">
        <f t="shared" si="1"/>
        <v>65393617792885.609</v>
      </c>
      <c r="G13" s="66">
        <f t="shared" si="9"/>
        <v>4314649485657.0796</v>
      </c>
      <c r="H13" s="67">
        <f t="shared" si="2"/>
        <v>61078968307228.531</v>
      </c>
      <c r="I13" s="68">
        <f t="shared" si="3"/>
        <v>93.402032749858833</v>
      </c>
      <c r="J13" s="7">
        <f t="shared" si="10"/>
        <v>6.1078968307228534</v>
      </c>
      <c r="K13" s="8">
        <f t="shared" si="11"/>
        <v>5400</v>
      </c>
      <c r="L13" s="8">
        <f t="shared" si="4"/>
        <v>-16.288368869236091</v>
      </c>
      <c r="M13" s="8">
        <f t="shared" si="5"/>
        <v>751.54953323023733</v>
      </c>
      <c r="N13" s="8">
        <f t="shared" si="6"/>
        <v>2.0917340539929148</v>
      </c>
      <c r="O13" s="7">
        <v>6.3736363636363675</v>
      </c>
      <c r="P13" s="68">
        <f t="shared" si="12"/>
        <v>5453.0949601772518</v>
      </c>
    </row>
    <row r="14" spans="1:18" x14ac:dyDescent="0.25">
      <c r="A14" s="8">
        <v>6000</v>
      </c>
      <c r="B14" s="62">
        <f t="shared" si="7"/>
        <v>100</v>
      </c>
      <c r="C14" s="63">
        <f t="shared" si="0"/>
        <v>1.6666666666666667</v>
      </c>
      <c r="D14" s="64">
        <v>0.13896</v>
      </c>
      <c r="E14" s="65">
        <f t="shared" si="8"/>
        <v>6.3163636363636355</v>
      </c>
      <c r="F14" s="66">
        <f t="shared" si="1"/>
        <v>65986565104479.18</v>
      </c>
      <c r="G14" s="66">
        <f t="shared" si="9"/>
        <v>4314649485657.0796</v>
      </c>
      <c r="H14" s="67">
        <f t="shared" si="2"/>
        <v>61671915618822.102</v>
      </c>
      <c r="I14" s="68">
        <f t="shared" si="3"/>
        <v>93.461321287408239</v>
      </c>
      <c r="J14" s="7">
        <f t="shared" si="10"/>
        <v>6.16719156188221</v>
      </c>
      <c r="K14" s="8">
        <f t="shared" si="11"/>
        <v>6000</v>
      </c>
      <c r="L14" s="8">
        <f t="shared" si="4"/>
        <v>-16.497391041333106</v>
      </c>
      <c r="M14" s="8">
        <f t="shared" si="5"/>
        <v>754.94912843747124</v>
      </c>
      <c r="N14" s="8">
        <f t="shared" si="6"/>
        <v>2.283094336417971</v>
      </c>
      <c r="O14" s="7">
        <v>6.3163636363636355</v>
      </c>
      <c r="P14" s="68">
        <f t="shared" si="12"/>
        <v>5956.2316432497992</v>
      </c>
    </row>
    <row r="15" spans="1:18" x14ac:dyDescent="0.25">
      <c r="A15" s="8">
        <v>6600</v>
      </c>
      <c r="B15" s="62">
        <f t="shared" si="7"/>
        <v>110</v>
      </c>
      <c r="C15" s="63">
        <f t="shared" si="0"/>
        <v>1.8333333333333333</v>
      </c>
      <c r="D15" s="64">
        <v>0.14695999999999998</v>
      </c>
      <c r="E15" s="65">
        <f t="shared" si="8"/>
        <v>6.0727272727272723</v>
      </c>
      <c r="F15" s="66">
        <f t="shared" si="1"/>
        <v>68633930291305.586</v>
      </c>
      <c r="G15" s="66">
        <f t="shared" si="9"/>
        <v>4314649485657.0796</v>
      </c>
      <c r="H15" s="67">
        <f t="shared" si="2"/>
        <v>64319280805648.508</v>
      </c>
      <c r="I15" s="68">
        <f t="shared" si="3"/>
        <v>93.713532843967627</v>
      </c>
      <c r="J15" s="7">
        <f t="shared" si="10"/>
        <v>6.4319280805648509</v>
      </c>
      <c r="K15" s="8">
        <f t="shared" si="11"/>
        <v>6600</v>
      </c>
      <c r="L15" s="8">
        <f t="shared" si="4"/>
        <v>-21.000897573545064</v>
      </c>
      <c r="M15" s="8">
        <f t="shared" si="5"/>
        <v>769.94439491270089</v>
      </c>
      <c r="N15" s="8">
        <f t="shared" si="6"/>
        <v>6.7087100796592471</v>
      </c>
      <c r="O15" s="7">
        <v>6.2160000000000002</v>
      </c>
      <c r="P15" s="68">
        <f>((LN(O15/(O15-M$22)))-(M$22/O15)-N$19)/N$18</f>
        <v>7248.9584279376695</v>
      </c>
    </row>
    <row r="16" spans="1:18" x14ac:dyDescent="0.25">
      <c r="A16" s="8">
        <v>7200</v>
      </c>
      <c r="B16" s="62">
        <f t="shared" si="7"/>
        <v>120</v>
      </c>
      <c r="C16" s="54">
        <f t="shared" si="0"/>
        <v>2</v>
      </c>
      <c r="D16" s="64">
        <v>0.160056</v>
      </c>
      <c r="E16" s="65">
        <f t="shared" si="8"/>
        <v>6.0627272727272725</v>
      </c>
      <c r="F16" s="66">
        <f t="shared" si="1"/>
        <v>68747136654059.273</v>
      </c>
      <c r="G16" s="66">
        <f t="shared" si="9"/>
        <v>4314649485657.0796</v>
      </c>
      <c r="H16" s="67">
        <f t="shared" si="2"/>
        <v>64432487168402.195</v>
      </c>
      <c r="I16" s="68">
        <f t="shared" si="3"/>
        <v>93.723884810841341</v>
      </c>
      <c r="J16" s="7">
        <f t="shared" si="10"/>
        <v>6.4432487168402197</v>
      </c>
      <c r="K16" s="8">
        <f t="shared" si="11"/>
        <v>7200</v>
      </c>
      <c r="L16" s="8" t="e">
        <f t="shared" si="4"/>
        <v>#NUM!</v>
      </c>
      <c r="M16" s="8">
        <f t="shared" si="5"/>
        <v>770.57911517218076</v>
      </c>
      <c r="N16" s="8" t="e">
        <f t="shared" si="6"/>
        <v>#NUM!</v>
      </c>
      <c r="O16" s="8"/>
      <c r="P16" s="8"/>
      <c r="Q16" s="7"/>
      <c r="R16" s="10"/>
    </row>
    <row r="17" spans="1:20" x14ac:dyDescent="0.25">
      <c r="A17" s="8"/>
      <c r="B17" s="8"/>
      <c r="C17" s="8"/>
      <c r="D17" s="8"/>
      <c r="E17" s="8"/>
      <c r="F17" s="66"/>
      <c r="G17" s="66"/>
      <c r="H17" s="66"/>
      <c r="I17" s="8"/>
      <c r="J17" s="8"/>
      <c r="K17" s="8"/>
      <c r="L17" s="8" t="s">
        <v>107</v>
      </c>
      <c r="M17" s="8" t="s">
        <v>108</v>
      </c>
      <c r="N17" s="8" t="s">
        <v>92</v>
      </c>
      <c r="O17" s="8"/>
      <c r="P17" s="8"/>
      <c r="Q17" s="8"/>
      <c r="R17" s="8"/>
      <c r="S17" s="8"/>
      <c r="T17" s="8"/>
    </row>
    <row r="18" spans="1:20" x14ac:dyDescent="0.25">
      <c r="A18" s="8"/>
      <c r="B18" s="8"/>
      <c r="C18" s="8"/>
      <c r="D18" s="8"/>
      <c r="E18" s="8"/>
      <c r="F18" s="8"/>
      <c r="G18" s="8"/>
      <c r="H18" s="8"/>
      <c r="I18" s="54"/>
      <c r="J18" s="8"/>
      <c r="K18" s="9" t="s">
        <v>128</v>
      </c>
      <c r="L18" s="46">
        <f>SLOPE(L5:L14,K5:K14)</f>
        <v>-5.3844051876437342E-4</v>
      </c>
      <c r="M18" s="46">
        <f>SLOPE(M5:M14,K5:K14)</f>
        <v>3.0095089273495062E-2</v>
      </c>
      <c r="N18" s="46">
        <f>SLOPE(N5:N14,K5:K14)</f>
        <v>3.8033458672991256E-4</v>
      </c>
      <c r="O18" s="8"/>
      <c r="P18" s="8"/>
      <c r="Q18" s="8"/>
      <c r="R18" s="8"/>
      <c r="S18" s="8"/>
      <c r="T18" s="8"/>
    </row>
    <row r="19" spans="1:20" x14ac:dyDescent="0.25">
      <c r="H19" s="69"/>
      <c r="K19" s="8" t="s">
        <v>127</v>
      </c>
      <c r="L19" s="46">
        <f>INTERCEPT(L5:L14,K5:K14)</f>
        <v>-13.432465765015209</v>
      </c>
      <c r="M19" s="46">
        <f>INTERCEPT(M5:M14,K5:K14)</f>
        <v>602.57029255329428</v>
      </c>
      <c r="N19" s="46">
        <f>INTERCEPT(N5:N14,K5:K14)</f>
        <v>1.7733435914930373E-2</v>
      </c>
    </row>
    <row r="20" spans="1:20" x14ac:dyDescent="0.25">
      <c r="K20" s="8" t="s">
        <v>118</v>
      </c>
      <c r="L20" s="46">
        <f>RSQ(L5:L14,K5:K14)</f>
        <v>0.9740685687217483</v>
      </c>
      <c r="M20" s="46">
        <f>RSQ(M5:M14,K5:K14)</f>
        <v>0.80683653900168462</v>
      </c>
      <c r="N20" s="46">
        <f>RSQ(N5:N14,K5:K14)</f>
        <v>0.9952891422105461</v>
      </c>
    </row>
    <row r="21" spans="1:20" x14ac:dyDescent="0.25">
      <c r="K21" s="8" t="s">
        <v>119</v>
      </c>
      <c r="L21" s="70">
        <f>96.6/3600000</f>
        <v>2.6833333333333333E-5</v>
      </c>
      <c r="M21" s="9">
        <f>L21*3600000</f>
        <v>96.6</v>
      </c>
      <c r="N21" s="4"/>
    </row>
    <row r="22" spans="1:20" x14ac:dyDescent="0.25">
      <c r="K22" s="8" t="s">
        <v>120</v>
      </c>
      <c r="L22" s="70">
        <f>6.07/3600000</f>
        <v>1.6861111111111112E-6</v>
      </c>
      <c r="M22" s="35">
        <f>L22*3600000</f>
        <v>6.07</v>
      </c>
      <c r="N22" s="4"/>
    </row>
    <row r="23" spans="1:20" x14ac:dyDescent="0.25">
      <c r="K23" s="8" t="s">
        <v>112</v>
      </c>
      <c r="L23" s="47">
        <f>L18*-1</f>
        <v>5.3844051876437342E-4</v>
      </c>
      <c r="M23" s="47">
        <f>M18</f>
        <v>3.0095089273495062E-2</v>
      </c>
      <c r="N23" s="38">
        <f>N18/(L22^2)</f>
        <v>133780692.68798846</v>
      </c>
      <c r="O23" s="69"/>
    </row>
    <row r="24" spans="1:20" x14ac:dyDescent="0.25">
      <c r="L24" s="69"/>
    </row>
    <row r="27" spans="1:20" x14ac:dyDescent="0.25">
      <c r="L27" s="15"/>
      <c r="M27" s="15"/>
      <c r="N27" s="15"/>
    </row>
    <row r="28" spans="1:20" x14ac:dyDescent="0.25">
      <c r="K28" s="8"/>
      <c r="L28" s="8"/>
      <c r="M28" s="8"/>
      <c r="N28" s="8"/>
      <c r="O28" s="8"/>
    </row>
    <row r="37" spans="12:17" x14ac:dyDescent="0.25">
      <c r="L37" s="71"/>
      <c r="M37" s="72"/>
      <c r="N37" s="71"/>
      <c r="O37" s="72"/>
      <c r="P37" s="71"/>
      <c r="Q37" s="73"/>
    </row>
    <row r="38" spans="12:17" x14ac:dyDescent="0.25">
      <c r="L38" s="71"/>
      <c r="M38" s="74"/>
      <c r="N38" s="71"/>
      <c r="O38" s="74"/>
      <c r="P38" s="71"/>
      <c r="Q38" s="74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73C14-A65C-4D34-8A09-D1730DD9EC57}">
  <dimension ref="A1:V23"/>
  <sheetViews>
    <sheetView zoomScaleNormal="100" workbookViewId="0">
      <selection activeCell="N29" sqref="N29"/>
    </sheetView>
  </sheetViews>
  <sheetFormatPr baseColWidth="10" defaultRowHeight="15" x14ac:dyDescent="0.25"/>
  <cols>
    <col min="2" max="2" width="6" bestFit="1" customWidth="1"/>
    <col min="3" max="3" width="5.5703125" bestFit="1" customWidth="1"/>
    <col min="4" max="4" width="6.140625" bestFit="1" customWidth="1"/>
    <col min="5" max="5" width="12.140625" bestFit="1" customWidth="1"/>
    <col min="6" max="6" width="16.5703125" customWidth="1"/>
    <col min="7" max="7" width="9.140625" bestFit="1" customWidth="1"/>
    <col min="8" max="8" width="9.5703125" bestFit="1" customWidth="1"/>
    <col min="9" max="9" width="8.85546875" bestFit="1" customWidth="1"/>
    <col min="10" max="10" width="14.28515625" bestFit="1" customWidth="1"/>
    <col min="11" max="11" width="8.7109375" bestFit="1" customWidth="1"/>
    <col min="12" max="12" width="12.85546875" bestFit="1" customWidth="1"/>
    <col min="13" max="13" width="12.5703125" bestFit="1" customWidth="1"/>
    <col min="14" max="14" width="12.42578125" bestFit="1" customWidth="1"/>
    <col min="15" max="15" width="11.140625" bestFit="1" customWidth="1"/>
    <col min="16" max="16" width="16.5703125" customWidth="1"/>
    <col min="17" max="17" width="13.42578125" customWidth="1"/>
    <col min="19" max="19" width="18.85546875" customWidth="1"/>
    <col min="20" max="20" width="16.85546875" customWidth="1"/>
    <col min="22" max="22" width="15" bestFit="1" customWidth="1"/>
    <col min="23" max="23" width="17.140625" customWidth="1"/>
    <col min="24" max="24" width="16.7109375" customWidth="1"/>
    <col min="25" max="25" width="19.85546875" customWidth="1"/>
    <col min="26" max="26" width="22.42578125" customWidth="1"/>
  </cols>
  <sheetData>
    <row r="1" spans="1:22" ht="15.75" x14ac:dyDescent="0.25">
      <c r="A1" s="94" t="s">
        <v>91</v>
      </c>
      <c r="P1" s="8"/>
    </row>
    <row r="2" spans="1:22" s="4" customFormat="1" x14ac:dyDescent="0.25">
      <c r="G2" s="31"/>
      <c r="O2" s="4" t="s">
        <v>92</v>
      </c>
    </row>
    <row r="3" spans="1:22" s="4" customFormat="1" x14ac:dyDescent="0.25">
      <c r="A3" s="9" t="s">
        <v>93</v>
      </c>
      <c r="B3" s="32" t="s">
        <v>94</v>
      </c>
      <c r="C3" s="9" t="s">
        <v>95</v>
      </c>
      <c r="D3" s="9" t="s">
        <v>96</v>
      </c>
      <c r="E3" s="33" t="s">
        <v>97</v>
      </c>
      <c r="F3" s="32" t="s">
        <v>98</v>
      </c>
      <c r="G3" s="32" t="s">
        <v>99</v>
      </c>
      <c r="H3" s="32" t="s">
        <v>100</v>
      </c>
      <c r="I3" s="32" t="s">
        <v>101</v>
      </c>
      <c r="J3" s="32" t="s">
        <v>102</v>
      </c>
      <c r="K3" s="32" t="s">
        <v>103</v>
      </c>
      <c r="L3" s="9" t="s">
        <v>104</v>
      </c>
      <c r="M3" s="9" t="s">
        <v>105</v>
      </c>
      <c r="N3" s="9" t="s">
        <v>106</v>
      </c>
      <c r="O3" s="32" t="s">
        <v>97</v>
      </c>
      <c r="P3" s="9" t="s">
        <v>103</v>
      </c>
      <c r="S3" s="9"/>
    </row>
    <row r="4" spans="1:22" s="4" customFormat="1" x14ac:dyDescent="0.25">
      <c r="A4" s="34">
        <v>600</v>
      </c>
      <c r="B4" s="32">
        <f>A4/60</f>
        <v>10</v>
      </c>
      <c r="C4" s="35">
        <f>B4/60</f>
        <v>0.16666666666666666</v>
      </c>
      <c r="D4" s="35">
        <v>7.1820000000000122E-3</v>
      </c>
      <c r="E4" s="36">
        <f>D4/(0.0132*C4)</f>
        <v>3.2645454545454604</v>
      </c>
      <c r="F4" s="37">
        <f t="shared" ref="F4:F10" si="0">100000/((E4/3600000)*(0.479/((25+42.5)^1.5)))</f>
        <v>127673253786109.86</v>
      </c>
      <c r="G4" s="38">
        <f>100000/((15.1/3600000)*(0.479/((25+42.5)^1.5)))</f>
        <v>27602327173143.973</v>
      </c>
      <c r="H4" s="37">
        <f>(F4-G4)</f>
        <v>100070926612965.89</v>
      </c>
      <c r="I4" s="39">
        <f t="shared" ref="I4:I10" si="1">H4*100/F4</f>
        <v>78.380493678506895</v>
      </c>
      <c r="J4" s="40">
        <f>(F4-G4)*0.0000000000001</f>
        <v>10.007092661296589</v>
      </c>
      <c r="K4" s="41">
        <f>A4</f>
        <v>600</v>
      </c>
      <c r="L4" s="9">
        <f t="shared" ref="L4:L10" si="2">LN((E4/3600000)-M$16)</f>
        <v>-14.279070346950617</v>
      </c>
      <c r="M4" s="9">
        <f t="shared" ref="M4:M10" si="3">(1/(E4/3600000))^0.5</f>
        <v>1050.1223225084659</v>
      </c>
      <c r="N4" s="38">
        <f t="shared" ref="N4:N10" si="4">(LN(E4/(E4-L$16)))-(L$16/E4)</f>
        <v>5.9425120010964283E-2</v>
      </c>
      <c r="O4" s="41">
        <v>3.2645454545454604</v>
      </c>
      <c r="P4" s="39">
        <f>((LN(O4/(O4-L$16)))-(L$16/O4)-N$13)/(N$12)</f>
        <v>630.28054079085268</v>
      </c>
      <c r="S4" s="38"/>
    </row>
    <row r="5" spans="1:22" s="4" customFormat="1" x14ac:dyDescent="0.25">
      <c r="A5" s="34">
        <v>1200</v>
      </c>
      <c r="B5" s="32">
        <f t="shared" ref="B5:C10" si="5">A5/60</f>
        <v>20</v>
      </c>
      <c r="C5" s="35">
        <f t="shared" si="5"/>
        <v>0.33333333333333331</v>
      </c>
      <c r="D5" s="35">
        <v>1.0276E-2</v>
      </c>
      <c r="E5" s="36">
        <f t="shared" ref="E5:E10" si="6">D5/(0.0132*C5)</f>
        <v>2.3354545454545459</v>
      </c>
      <c r="F5" s="37">
        <f t="shared" si="0"/>
        <v>178464248480311.88</v>
      </c>
      <c r="G5" s="38">
        <f t="shared" ref="G5:G10" si="7">100000/((15.1/3600000)*(0.479/((25+42.5)^1.5)))</f>
        <v>27602327173143.973</v>
      </c>
      <c r="H5" s="37">
        <f t="shared" ref="H5:H10" si="8">(F5-G5)</f>
        <v>150861921307167.91</v>
      </c>
      <c r="I5" s="39">
        <f t="shared" si="1"/>
        <v>84.533413606261277</v>
      </c>
      <c r="J5" s="40">
        <f t="shared" ref="J5:J10" si="9">(F5-G5)*0.0000000000001</f>
        <v>15.086192130716791</v>
      </c>
      <c r="K5" s="41">
        <f t="shared" ref="K5:K10" si="10">A5</f>
        <v>1200</v>
      </c>
      <c r="L5" s="9">
        <f t="shared" si="2"/>
        <v>-14.807172686038923</v>
      </c>
      <c r="M5" s="9">
        <f t="shared" si="3"/>
        <v>1241.5537923847578</v>
      </c>
      <c r="N5" s="38">
        <f t="shared" si="4"/>
        <v>0.13075264888462435</v>
      </c>
      <c r="O5" s="41">
        <v>2.3354545454545459</v>
      </c>
      <c r="P5" s="39">
        <f t="shared" ref="P5:P10" si="11">((LN(O5/(O5-L$16)))-(L$16/O5)-N$13)/(N$12)</f>
        <v>1230.9096441125942</v>
      </c>
      <c r="S5" s="38"/>
    </row>
    <row r="6" spans="1:22" s="4" customFormat="1" x14ac:dyDescent="0.25">
      <c r="A6" s="34">
        <v>2400</v>
      </c>
      <c r="B6" s="32">
        <f t="shared" si="5"/>
        <v>40</v>
      </c>
      <c r="C6" s="35">
        <f t="shared" si="5"/>
        <v>0.66666666666666663</v>
      </c>
      <c r="D6" s="35">
        <v>1.6399999999999439E-2</v>
      </c>
      <c r="E6" s="36">
        <f t="shared" si="6"/>
        <v>1.8636363636363003</v>
      </c>
      <c r="F6" s="37">
        <f t="shared" si="0"/>
        <v>223646172851676.56</v>
      </c>
      <c r="G6" s="38">
        <f t="shared" si="7"/>
        <v>27602327173143.973</v>
      </c>
      <c r="H6" s="37">
        <f t="shared" si="8"/>
        <v>196043845678532.59</v>
      </c>
      <c r="I6" s="39">
        <f t="shared" si="1"/>
        <v>87.658037326911924</v>
      </c>
      <c r="J6" s="40">
        <f t="shared" si="9"/>
        <v>19.604384567853259</v>
      </c>
      <c r="K6" s="41">
        <f t="shared" si="10"/>
        <v>2400</v>
      </c>
      <c r="L6" s="9">
        <f t="shared" si="2"/>
        <v>-15.243047877618288</v>
      </c>
      <c r="M6" s="9">
        <f t="shared" si="3"/>
        <v>1389.858739970806</v>
      </c>
      <c r="N6" s="38">
        <f t="shared" si="4"/>
        <v>0.23254772168422988</v>
      </c>
      <c r="O6" s="41">
        <v>1.8636363636363003</v>
      </c>
      <c r="P6" s="39">
        <f t="shared" si="11"/>
        <v>2088.0973844378686</v>
      </c>
      <c r="S6" s="38"/>
    </row>
    <row r="7" spans="1:22" s="4" customFormat="1" x14ac:dyDescent="0.25">
      <c r="A7" s="34">
        <v>3600</v>
      </c>
      <c r="B7" s="32">
        <f t="shared" si="5"/>
        <v>60</v>
      </c>
      <c r="C7" s="35">
        <f t="shared" si="5"/>
        <v>1</v>
      </c>
      <c r="D7" s="35">
        <v>1.9568399999999927E-2</v>
      </c>
      <c r="E7" s="36">
        <f t="shared" si="6"/>
        <v>1.4824545454545399</v>
      </c>
      <c r="F7" s="37">
        <f t="shared" si="0"/>
        <v>281152053931393.28</v>
      </c>
      <c r="G7" s="38">
        <f t="shared" si="7"/>
        <v>27602327173143.973</v>
      </c>
      <c r="H7" s="37">
        <f t="shared" si="8"/>
        <v>253549726758249.31</v>
      </c>
      <c r="I7" s="39">
        <f t="shared" si="1"/>
        <v>90.182420228777886</v>
      </c>
      <c r="J7" s="40">
        <f t="shared" si="9"/>
        <v>25.354972675824932</v>
      </c>
      <c r="K7" s="41">
        <f t="shared" si="10"/>
        <v>3600</v>
      </c>
      <c r="L7" s="9">
        <f t="shared" si="2"/>
        <v>-15.825312972378962</v>
      </c>
      <c r="M7" s="9">
        <f t="shared" si="3"/>
        <v>1558.3340397542127</v>
      </c>
      <c r="N7" s="38">
        <f t="shared" si="4"/>
        <v>0.44801082089542199</v>
      </c>
      <c r="O7" s="41">
        <v>1.4824545454545399</v>
      </c>
      <c r="P7" s="39">
        <f t="shared" si="11"/>
        <v>3902.4516754349274</v>
      </c>
      <c r="S7" s="38"/>
    </row>
    <row r="8" spans="1:22" s="4" customFormat="1" x14ac:dyDescent="0.25">
      <c r="A8" s="34">
        <v>4800</v>
      </c>
      <c r="B8" s="32">
        <f t="shared" si="5"/>
        <v>80</v>
      </c>
      <c r="C8" s="35">
        <f t="shared" si="5"/>
        <v>1.3333333333333333</v>
      </c>
      <c r="D8" s="35">
        <v>2.4331199999999904E-2</v>
      </c>
      <c r="E8" s="36">
        <f t="shared" si="6"/>
        <v>1.3824545454545403</v>
      </c>
      <c r="F8" s="37">
        <f t="shared" si="0"/>
        <v>301489218350708.88</v>
      </c>
      <c r="G8" s="38">
        <f t="shared" si="7"/>
        <v>27602327173143.973</v>
      </c>
      <c r="H8" s="37">
        <f t="shared" si="8"/>
        <v>273886891177564.91</v>
      </c>
      <c r="I8" s="39">
        <f t="shared" si="1"/>
        <v>90.84467188440702</v>
      </c>
      <c r="J8" s="40">
        <f t="shared" si="9"/>
        <v>27.388689117756492</v>
      </c>
      <c r="K8" s="41">
        <f t="shared" si="10"/>
        <v>4800</v>
      </c>
      <c r="L8" s="9">
        <f t="shared" si="2"/>
        <v>-16.05758987161634</v>
      </c>
      <c r="M8" s="9">
        <f t="shared" si="3"/>
        <v>1613.7112250748398</v>
      </c>
      <c r="N8" s="38">
        <f t="shared" si="4"/>
        <v>0.56165495523535325</v>
      </c>
      <c r="O8" s="41">
        <v>1.3824545454545403</v>
      </c>
      <c r="P8" s="39">
        <f t="shared" si="11"/>
        <v>4859.4170376763614</v>
      </c>
      <c r="S8" s="38"/>
    </row>
    <row r="9" spans="1:22" s="4" customFormat="1" x14ac:dyDescent="0.25">
      <c r="A9" s="34">
        <v>6000</v>
      </c>
      <c r="B9" s="32">
        <f t="shared" si="5"/>
        <v>100</v>
      </c>
      <c r="C9" s="35">
        <f t="shared" si="5"/>
        <v>1.6666666666666667</v>
      </c>
      <c r="D9" s="35">
        <v>2.8733999999999805E-2</v>
      </c>
      <c r="E9" s="36">
        <f t="shared" si="6"/>
        <v>1.3060909090909001</v>
      </c>
      <c r="F9" s="37">
        <f t="shared" si="0"/>
        <v>319116485241125.06</v>
      </c>
      <c r="G9" s="38">
        <f t="shared" si="7"/>
        <v>27602327173143.973</v>
      </c>
      <c r="H9" s="37">
        <f t="shared" si="8"/>
        <v>291514158067981.06</v>
      </c>
      <c r="I9" s="39">
        <f t="shared" si="1"/>
        <v>91.350391330523834</v>
      </c>
      <c r="J9" s="40">
        <f t="shared" si="9"/>
        <v>29.151415806798106</v>
      </c>
      <c r="K9" s="41">
        <f t="shared" si="10"/>
        <v>6000</v>
      </c>
      <c r="L9" s="9">
        <f t="shared" si="2"/>
        <v>-16.2803175360458</v>
      </c>
      <c r="M9" s="9">
        <f t="shared" si="3"/>
        <v>1660.2158169287984</v>
      </c>
      <c r="N9" s="38">
        <f t="shared" si="4"/>
        <v>0.68526828129951223</v>
      </c>
      <c r="O9" s="41">
        <v>1.3060909090909001</v>
      </c>
      <c r="P9" s="39">
        <f t="shared" si="11"/>
        <v>5900.3301656783533</v>
      </c>
      <c r="S9" s="38"/>
    </row>
    <row r="10" spans="1:22" s="4" customFormat="1" x14ac:dyDescent="0.25">
      <c r="A10" s="34">
        <v>7200</v>
      </c>
      <c r="B10" s="32">
        <f t="shared" si="5"/>
        <v>120</v>
      </c>
      <c r="C10" s="35">
        <f t="shared" si="5"/>
        <v>2</v>
      </c>
      <c r="D10" s="35">
        <v>3.2712000000000019E-2</v>
      </c>
      <c r="E10" s="36">
        <f t="shared" si="6"/>
        <v>1.2390909090909099</v>
      </c>
      <c r="F10" s="37">
        <f t="shared" si="0"/>
        <v>336371719989670.56</v>
      </c>
      <c r="G10" s="38">
        <f t="shared" si="7"/>
        <v>27602327173143.973</v>
      </c>
      <c r="H10" s="37">
        <f t="shared" si="8"/>
        <v>308769392816526.56</v>
      </c>
      <c r="I10" s="39">
        <f t="shared" si="1"/>
        <v>91.794099939795288</v>
      </c>
      <c r="J10" s="40">
        <f t="shared" si="9"/>
        <v>30.876939281652657</v>
      </c>
      <c r="K10" s="41">
        <f t="shared" si="10"/>
        <v>7200</v>
      </c>
      <c r="L10" s="9">
        <f t="shared" si="2"/>
        <v>-16.527355830035031</v>
      </c>
      <c r="M10" s="9">
        <f t="shared" si="3"/>
        <v>1704.5104378448184</v>
      </c>
      <c r="N10" s="38">
        <f t="shared" si="4"/>
        <v>0.83824611265156102</v>
      </c>
      <c r="O10" s="41">
        <v>1.2390909090909099</v>
      </c>
      <c r="P10" s="39">
        <f t="shared" si="11"/>
        <v>7188.5135518690422</v>
      </c>
      <c r="S10" s="38"/>
    </row>
    <row r="11" spans="1:22" s="4" customFormat="1" x14ac:dyDescent="0.25">
      <c r="A11" s="9"/>
      <c r="B11" s="9"/>
      <c r="C11" s="42"/>
      <c r="D11" s="42"/>
      <c r="E11" s="32"/>
      <c r="F11" s="43"/>
      <c r="G11" s="43"/>
      <c r="H11" s="44"/>
      <c r="I11" s="32"/>
      <c r="J11" s="32"/>
      <c r="K11" s="9"/>
      <c r="L11" s="9" t="s">
        <v>107</v>
      </c>
      <c r="M11" s="9" t="s">
        <v>108</v>
      </c>
      <c r="N11" s="9" t="s">
        <v>92</v>
      </c>
      <c r="O11" s="9"/>
      <c r="P11" s="9"/>
      <c r="S11" s="38"/>
    </row>
    <row r="12" spans="1:22" s="4" customFormat="1" x14ac:dyDescent="0.25">
      <c r="A12" s="9"/>
      <c r="B12" s="9"/>
      <c r="C12" s="42"/>
      <c r="D12" s="42"/>
      <c r="E12" s="32"/>
      <c r="F12" s="43"/>
      <c r="G12" s="43"/>
      <c r="H12" s="45"/>
      <c r="I12" s="45"/>
      <c r="J12" s="9"/>
      <c r="K12" s="9" t="s">
        <v>128</v>
      </c>
      <c r="L12" s="46">
        <f>SLOPE(L4:L10,K4:K10)</f>
        <v>-3.2581033832313746E-4</v>
      </c>
      <c r="M12" s="35">
        <f>SLOPE(M4:M10,K4:K10)</f>
        <v>9.3185368758047629E-2</v>
      </c>
      <c r="N12" s="47">
        <f>SLOPE(N4:N10,K4:K10)</f>
        <v>1.1875469982920851E-4</v>
      </c>
      <c r="O12" s="9"/>
      <c r="P12" s="9"/>
      <c r="R12" s="48"/>
      <c r="S12" s="49"/>
      <c r="T12" s="48"/>
      <c r="U12" s="49"/>
      <c r="V12" s="50"/>
    </row>
    <row r="13" spans="1:22" s="4" customFormat="1" x14ac:dyDescent="0.25">
      <c r="A13" s="9"/>
      <c r="B13" s="9"/>
      <c r="C13" s="42"/>
      <c r="D13" s="42"/>
      <c r="E13" s="32"/>
      <c r="F13" s="43"/>
      <c r="G13" s="43"/>
      <c r="H13" s="45"/>
      <c r="I13" s="45"/>
      <c r="J13" s="9"/>
      <c r="K13" s="9" t="s">
        <v>127</v>
      </c>
      <c r="L13" s="35">
        <f>INTERCEPT(L4:L10,K4:K10)</f>
        <v>-14.373422913135286</v>
      </c>
      <c r="M13" s="35">
        <f>INTERCEPT(M4:M10,K4:K10)</f>
        <v>1116.3034086441528</v>
      </c>
      <c r="N13" s="35">
        <f>INTERCEPT(N4:N10,K4:K10)</f>
        <v>-1.5423656418844633E-2</v>
      </c>
      <c r="O13" s="9"/>
      <c r="P13" s="9"/>
      <c r="R13" s="51"/>
      <c r="S13" s="49"/>
      <c r="T13" s="51"/>
      <c r="U13" s="49"/>
      <c r="V13" s="51"/>
    </row>
    <row r="14" spans="1:22" s="4" customFormat="1" x14ac:dyDescent="0.25">
      <c r="A14" s="9"/>
      <c r="B14" s="9"/>
      <c r="C14" s="42"/>
      <c r="D14" s="42"/>
      <c r="E14" s="32"/>
      <c r="F14" s="43"/>
      <c r="G14" s="43"/>
      <c r="H14" s="45"/>
      <c r="I14" s="45"/>
      <c r="J14" s="9"/>
      <c r="K14" s="9" t="s">
        <v>109</v>
      </c>
      <c r="L14" s="46">
        <f>RSQ(L4:L10,K4:K10)</f>
        <v>0.94485570589740486</v>
      </c>
      <c r="M14" s="46">
        <f>RSQ(M4:M10,K4:K10)</f>
        <v>0.89112589355530858</v>
      </c>
      <c r="N14" s="46">
        <f>RSQ(N4:N10,K4:K10)</f>
        <v>0.9944066472223696</v>
      </c>
      <c r="O14" s="9"/>
      <c r="P14" s="9"/>
      <c r="S14" s="52"/>
      <c r="T14" s="9"/>
      <c r="U14" s="40"/>
      <c r="V14" s="41"/>
    </row>
    <row r="15" spans="1:22" s="4" customFormat="1" x14ac:dyDescent="0.25">
      <c r="A15" s="9"/>
      <c r="B15" s="9"/>
      <c r="C15" s="42"/>
      <c r="D15" s="42"/>
      <c r="E15" s="32"/>
      <c r="F15" s="43"/>
      <c r="G15" s="43"/>
      <c r="H15" s="45"/>
      <c r="I15" s="45"/>
      <c r="J15" s="9"/>
      <c r="K15" s="9" t="s">
        <v>110</v>
      </c>
      <c r="L15" s="9">
        <v>15.1</v>
      </c>
      <c r="M15" s="9">
        <f>15.1/3600000</f>
        <v>4.194444444444444E-6</v>
      </c>
      <c r="N15" s="9"/>
      <c r="O15" s="9"/>
      <c r="P15" s="9"/>
    </row>
    <row r="16" spans="1:22" s="4" customFormat="1" x14ac:dyDescent="0.25">
      <c r="A16" s="9"/>
      <c r="B16" s="9"/>
      <c r="C16" s="42"/>
      <c r="D16" s="42"/>
      <c r="E16" s="32"/>
      <c r="F16" s="43"/>
      <c r="G16" s="43"/>
      <c r="H16" s="45"/>
      <c r="I16" s="45"/>
      <c r="J16" s="9"/>
      <c r="K16" s="9" t="s">
        <v>111</v>
      </c>
      <c r="L16" s="47">
        <v>1</v>
      </c>
      <c r="M16" s="38">
        <f>L16/3600000</f>
        <v>2.7777777777777776E-7</v>
      </c>
      <c r="N16" s="9"/>
      <c r="O16" s="37"/>
      <c r="P16" s="9"/>
    </row>
    <row r="17" spans="1:16" s="4" customFormat="1" x14ac:dyDescent="0.25">
      <c r="A17" s="9"/>
      <c r="B17" s="9"/>
      <c r="C17" s="42"/>
      <c r="D17" s="42"/>
      <c r="E17" s="32"/>
      <c r="F17" s="43"/>
      <c r="G17" s="43"/>
      <c r="H17" s="45"/>
      <c r="I17" s="45"/>
      <c r="J17" s="9"/>
      <c r="K17" s="9" t="s">
        <v>112</v>
      </c>
      <c r="L17" s="47">
        <f>L12*-1</f>
        <v>3.2581033832313746E-4</v>
      </c>
      <c r="M17" s="47">
        <f>M12</f>
        <v>9.3185368758047629E-2</v>
      </c>
      <c r="N17" s="37">
        <f>N12/(M16^2)</f>
        <v>1539060909.7865424</v>
      </c>
      <c r="O17" s="9"/>
      <c r="P17" s="9"/>
    </row>
    <row r="18" spans="1:16" s="4" customFormat="1" x14ac:dyDescent="0.25">
      <c r="A18" s="9"/>
      <c r="B18" s="9"/>
      <c r="C18" s="42"/>
      <c r="D18" s="42"/>
      <c r="E18" s="32"/>
      <c r="F18" s="43"/>
      <c r="G18" s="43"/>
      <c r="H18" s="45"/>
      <c r="I18" s="45"/>
      <c r="J18" s="9"/>
      <c r="K18" s="9"/>
      <c r="L18" s="9"/>
      <c r="M18" s="9"/>
      <c r="N18" s="9"/>
      <c r="O18" s="9"/>
      <c r="P18" s="9"/>
    </row>
    <row r="19" spans="1:16" s="4" customFormat="1" x14ac:dyDescent="0.25"/>
    <row r="20" spans="1:16" s="4" customFormat="1" x14ac:dyDescent="0.25">
      <c r="C20" s="42"/>
      <c r="D20" s="42"/>
      <c r="E20" s="32"/>
      <c r="F20" s="43"/>
      <c r="G20" s="43"/>
      <c r="H20" s="45"/>
      <c r="I20" s="53"/>
    </row>
    <row r="21" spans="1:16" s="4" customFormat="1" x14ac:dyDescent="0.25">
      <c r="C21" s="42"/>
      <c r="D21" s="42"/>
      <c r="E21" s="32"/>
      <c r="F21" s="43"/>
      <c r="G21" s="43"/>
      <c r="H21" s="45"/>
      <c r="I21" s="53"/>
      <c r="O21" s="9"/>
    </row>
    <row r="22" spans="1:16" s="4" customFormat="1" x14ac:dyDescent="0.25">
      <c r="C22" s="42"/>
      <c r="D22" s="42"/>
      <c r="E22" s="32"/>
      <c r="F22" s="43"/>
      <c r="G22" s="43"/>
      <c r="H22" s="45"/>
      <c r="I22" s="53"/>
    </row>
    <row r="23" spans="1:16" s="4" customFormat="1" x14ac:dyDescent="0.25">
      <c r="C23" s="42"/>
      <c r="D23" s="42"/>
      <c r="E23" s="32"/>
      <c r="F23" s="43"/>
      <c r="G23" s="43"/>
      <c r="H23" s="45"/>
      <c r="I23" s="53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f008579-f0ef-435d-9b91-12c5f8f06b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F62D27AFBB8E4D8A07D422F5601997" ma:contentTypeVersion="18" ma:contentTypeDescription="Crear nuevo documento." ma:contentTypeScope="" ma:versionID="94d9373473972269711ab2ed83a3c8c7">
  <xsd:schema xmlns:xsd="http://www.w3.org/2001/XMLSchema" xmlns:xs="http://www.w3.org/2001/XMLSchema" xmlns:p="http://schemas.microsoft.com/office/2006/metadata/properties" xmlns:ns3="4f008579-f0ef-435d-9b91-12c5f8f06b79" xmlns:ns4="953c24ac-8ec0-40cb-9cca-5d3437982867" targetNamespace="http://schemas.microsoft.com/office/2006/metadata/properties" ma:root="true" ma:fieldsID="9c42db69ce392f87b171128f4aa3c6cb" ns3:_="" ns4:_="">
    <xsd:import namespace="4f008579-f0ef-435d-9b91-12c5f8f06b79"/>
    <xsd:import namespace="953c24ac-8ec0-40cb-9cca-5d34379828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08579-f0ef-435d-9b91-12c5f8f06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c24ac-8ec0-40cb-9cca-5d34379828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F3C498-FB8A-47D1-B88F-FAB853BFD8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28B10B-F273-4580-A10D-59504914A56A}">
  <ds:schemaRefs>
    <ds:schemaRef ds:uri="4f008579-f0ef-435d-9b91-12c5f8f06b79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953c24ac-8ec0-40cb-9cca-5d3437982867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240FCF-3A2C-4352-B0BE-FC7887F3D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08579-f0ef-435d-9b91-12c5f8f06b79"/>
    <ds:schemaRef ds:uri="953c24ac-8ec0-40cb-9cca-5d3437982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SubWH (feed) </vt:lpstr>
      <vt:lpstr>pH; Z-pot</vt:lpstr>
      <vt:lpstr>Ri, α </vt:lpstr>
      <vt:lpstr>100 kDa </vt:lpstr>
      <vt:lpstr>50 kDa </vt:lpstr>
      <vt:lpstr>10kDa</vt:lpstr>
      <vt:lpstr>1 kDa</vt:lpstr>
      <vt:lpstr>'SubWH (feed) '!_Hlk130918406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BENITO ROMAN</dc:creator>
  <cp:lastModifiedBy>OSCAR BENITO ROMAN</cp:lastModifiedBy>
  <cp:lastPrinted>2023-12-18T19:44:39Z</cp:lastPrinted>
  <dcterms:created xsi:type="dcterms:W3CDTF">2022-03-11T12:45:30Z</dcterms:created>
  <dcterms:modified xsi:type="dcterms:W3CDTF">2025-02-04T09:18:04Z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0x0101004DF62D27AFBB8E4D8A07D422F5601997</vt:lpwstr>
  </property>
</Properties>
</file>