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https://universidaddeburgos-my.sharepoint.com/personal/obenito_ubu_es/Documents/Pectina/5. Membranas/Manuscrito/Repositorio/"/>
    </mc:Choice>
  </mc:AlternateContent>
  <xr:revisionPtr revIDLastSave="0" documentId="8_{1F3B66DB-6840-40BA-B04E-0F12D69B44F4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J (50 kDa)" sheetId="7" r:id="rId1"/>
    <sheet name="J (100 kDa) " sheetId="8" r:id="rId2"/>
    <sheet name="R vs DV (50 kDa)" sheetId="9" r:id="rId3"/>
    <sheet name="R vs DV (100 kDa) " sheetId="10" r:id="rId4"/>
    <sheet name="Fractionation (50kDa)" sheetId="11" r:id="rId5"/>
    <sheet name="Fractionation (100 kDa)" sheetId="1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2" l="1"/>
  <c r="F14" i="12" s="1"/>
  <c r="E13" i="12"/>
  <c r="F13" i="12" s="1"/>
  <c r="G12" i="12"/>
  <c r="E12" i="12"/>
  <c r="F12" i="12" s="1"/>
  <c r="E11" i="12"/>
  <c r="F11" i="12" s="1"/>
  <c r="G10" i="12"/>
  <c r="E10" i="12"/>
  <c r="F10" i="12" s="1"/>
  <c r="E9" i="12"/>
  <c r="F9" i="12" s="1"/>
  <c r="F8" i="12"/>
  <c r="E8" i="12"/>
  <c r="E7" i="12"/>
  <c r="F7" i="12" s="1"/>
  <c r="E6" i="12"/>
  <c r="F6" i="12" s="1"/>
  <c r="E5" i="12"/>
  <c r="F5" i="12" s="1"/>
  <c r="G4" i="12"/>
  <c r="E4" i="12"/>
  <c r="F4" i="12" s="1"/>
  <c r="G14" i="11"/>
  <c r="E14" i="11"/>
  <c r="F14" i="11" s="1"/>
  <c r="G13" i="11"/>
  <c r="E13" i="11"/>
  <c r="F13" i="11" s="1"/>
  <c r="F12" i="11"/>
  <c r="G12" i="11"/>
  <c r="E12" i="11"/>
  <c r="G11" i="11"/>
  <c r="E11" i="11"/>
  <c r="F11" i="11" s="1"/>
  <c r="F10" i="11"/>
  <c r="G10" i="11"/>
  <c r="E10" i="11"/>
  <c r="F9" i="11"/>
  <c r="G9" i="11"/>
  <c r="E9" i="11"/>
  <c r="F8" i="11"/>
  <c r="E8" i="11"/>
  <c r="G7" i="11"/>
  <c r="E7" i="11"/>
  <c r="F7" i="11" s="1"/>
  <c r="G6" i="11"/>
  <c r="E6" i="11"/>
  <c r="F6" i="11" s="1"/>
  <c r="F5" i="11"/>
  <c r="G5" i="11"/>
  <c r="E5" i="11"/>
  <c r="G4" i="11"/>
  <c r="E4" i="11"/>
  <c r="F4" i="11" s="1"/>
  <c r="P52" i="10"/>
  <c r="O52" i="10"/>
  <c r="N52" i="10"/>
  <c r="M52" i="10"/>
  <c r="L52" i="10"/>
  <c r="K52" i="10"/>
  <c r="J52" i="10"/>
  <c r="I52" i="10"/>
  <c r="H52" i="10"/>
  <c r="G52" i="10"/>
  <c r="F52" i="10"/>
  <c r="E52" i="10"/>
  <c r="D52" i="10"/>
  <c r="P51" i="10"/>
  <c r="O51" i="10"/>
  <c r="N51" i="10"/>
  <c r="M51" i="10"/>
  <c r="L51" i="10"/>
  <c r="K51" i="10"/>
  <c r="J51" i="10"/>
  <c r="I51" i="10"/>
  <c r="H51" i="10"/>
  <c r="G51" i="10"/>
  <c r="F51" i="10"/>
  <c r="E51" i="10"/>
  <c r="D51" i="10"/>
  <c r="A50" i="10"/>
  <c r="N49" i="10"/>
  <c r="M49" i="10"/>
  <c r="J49" i="10"/>
  <c r="I49" i="10"/>
  <c r="F49" i="10"/>
  <c r="E49" i="10"/>
  <c r="A49" i="10"/>
  <c r="P47" i="10"/>
  <c r="O47" i="10"/>
  <c r="N47" i="10"/>
  <c r="M47" i="10"/>
  <c r="L47" i="10"/>
  <c r="K47" i="10"/>
  <c r="J47" i="10"/>
  <c r="I47" i="10"/>
  <c r="H47" i="10"/>
  <c r="G47" i="10"/>
  <c r="F47" i="10"/>
  <c r="E47" i="10"/>
  <c r="D47" i="10"/>
  <c r="R52" i="10" s="1"/>
  <c r="P45" i="10"/>
  <c r="M45" i="10"/>
  <c r="L45" i="10"/>
  <c r="I45" i="10"/>
  <c r="H45" i="10"/>
  <c r="E45" i="10"/>
  <c r="D45" i="10"/>
  <c r="P44" i="10"/>
  <c r="O44" i="10"/>
  <c r="N44" i="10"/>
  <c r="M44" i="10"/>
  <c r="L44" i="10"/>
  <c r="K44" i="10"/>
  <c r="J44" i="10"/>
  <c r="I44" i="10"/>
  <c r="H44" i="10"/>
  <c r="G44" i="10"/>
  <c r="F44" i="10"/>
  <c r="E44" i="10"/>
  <c r="D44" i="10"/>
  <c r="P43" i="10"/>
  <c r="P46" i="10" s="1"/>
  <c r="O43" i="10"/>
  <c r="O45" i="10" s="1"/>
  <c r="N43" i="10"/>
  <c r="N45" i="10" s="1"/>
  <c r="M43" i="10"/>
  <c r="L43" i="10"/>
  <c r="L49" i="10" s="1"/>
  <c r="K43" i="10"/>
  <c r="K49" i="10" s="1"/>
  <c r="J43" i="10"/>
  <c r="J45" i="10" s="1"/>
  <c r="I43" i="10"/>
  <c r="H43" i="10"/>
  <c r="H46" i="10" s="1"/>
  <c r="G43" i="10"/>
  <c r="G45" i="10" s="1"/>
  <c r="F43" i="10"/>
  <c r="F45" i="10" s="1"/>
  <c r="E43" i="10"/>
  <c r="D43" i="10"/>
  <c r="D49" i="10" s="1"/>
  <c r="I46" i="10"/>
  <c r="O38" i="10"/>
  <c r="G38" i="10"/>
  <c r="N37" i="10"/>
  <c r="M37" i="10"/>
  <c r="J37" i="10"/>
  <c r="I37" i="10"/>
  <c r="F37" i="10"/>
  <c r="E37" i="10"/>
  <c r="P36" i="10"/>
  <c r="O36" i="10"/>
  <c r="N36" i="10"/>
  <c r="M36" i="10"/>
  <c r="L36" i="10"/>
  <c r="K36" i="10"/>
  <c r="J36" i="10"/>
  <c r="I36" i="10"/>
  <c r="H36" i="10"/>
  <c r="G36" i="10"/>
  <c r="F36" i="10"/>
  <c r="E36" i="10"/>
  <c r="D36" i="10"/>
  <c r="P35" i="10"/>
  <c r="P37" i="10" s="1"/>
  <c r="O35" i="10"/>
  <c r="O37" i="10" s="1"/>
  <c r="N35" i="10"/>
  <c r="N50" i="10" s="1"/>
  <c r="M35" i="10"/>
  <c r="M38" i="10" s="1"/>
  <c r="L35" i="10"/>
  <c r="L37" i="10" s="1"/>
  <c r="K35" i="10"/>
  <c r="K50" i="10" s="1"/>
  <c r="J35" i="10"/>
  <c r="J50" i="10" s="1"/>
  <c r="I35" i="10"/>
  <c r="I38" i="10" s="1"/>
  <c r="H35" i="10"/>
  <c r="H37" i="10" s="1"/>
  <c r="G35" i="10"/>
  <c r="G37" i="10" s="1"/>
  <c r="F35" i="10"/>
  <c r="F50" i="10" s="1"/>
  <c r="E35" i="10"/>
  <c r="E38" i="10" s="1"/>
  <c r="D35" i="10"/>
  <c r="D37" i="10" s="1"/>
  <c r="J38" i="10"/>
  <c r="P28" i="10"/>
  <c r="L28" i="10"/>
  <c r="H28" i="10"/>
  <c r="D28" i="10"/>
  <c r="M27" i="10"/>
  <c r="I27" i="10"/>
  <c r="H27" i="10"/>
  <c r="E27" i="10"/>
  <c r="N25" i="10"/>
  <c r="M25" i="10"/>
  <c r="I25" i="10"/>
  <c r="F25" i="10"/>
  <c r="E25" i="10"/>
  <c r="P24" i="10"/>
  <c r="O24" i="10"/>
  <c r="O28" i="10" s="1"/>
  <c r="N24" i="10"/>
  <c r="N28" i="10" s="1"/>
  <c r="M24" i="10"/>
  <c r="M28" i="10" s="1"/>
  <c r="L24" i="10"/>
  <c r="K24" i="10"/>
  <c r="K28" i="10" s="1"/>
  <c r="J24" i="10"/>
  <c r="J28" i="10" s="1"/>
  <c r="I24" i="10"/>
  <c r="I28" i="10" s="1"/>
  <c r="H24" i="10"/>
  <c r="G24" i="10"/>
  <c r="G28" i="10" s="1"/>
  <c r="F24" i="10"/>
  <c r="F28" i="10" s="1"/>
  <c r="E24" i="10"/>
  <c r="E28" i="10" s="1"/>
  <c r="D24" i="10"/>
  <c r="P23" i="10"/>
  <c r="P27" i="10" s="1"/>
  <c r="O23" i="10"/>
  <c r="O48" i="10" s="1"/>
  <c r="N23" i="10"/>
  <c r="N48" i="10" s="1"/>
  <c r="M23" i="10"/>
  <c r="L23" i="10"/>
  <c r="L25" i="10" s="1"/>
  <c r="K23" i="10"/>
  <c r="K25" i="10" s="1"/>
  <c r="J23" i="10"/>
  <c r="J48" i="10" s="1"/>
  <c r="I23" i="10"/>
  <c r="I26" i="10" s="1"/>
  <c r="H23" i="10"/>
  <c r="H25" i="10" s="1"/>
  <c r="G23" i="10"/>
  <c r="G48" i="10" s="1"/>
  <c r="F23" i="10"/>
  <c r="F48" i="10" s="1"/>
  <c r="E23" i="10"/>
  <c r="D23" i="10"/>
  <c r="D25" i="10" s="1"/>
  <c r="N14" i="10"/>
  <c r="M14" i="10"/>
  <c r="K14" i="10"/>
  <c r="J14" i="10"/>
  <c r="I14" i="10"/>
  <c r="F14" i="10"/>
  <c r="E14" i="10"/>
  <c r="P13" i="10"/>
  <c r="O13" i="10"/>
  <c r="N13" i="10"/>
  <c r="M13" i="10"/>
  <c r="L13" i="10"/>
  <c r="K13" i="10"/>
  <c r="J13" i="10"/>
  <c r="I13" i="10"/>
  <c r="H13" i="10"/>
  <c r="G13" i="10"/>
  <c r="F13" i="10"/>
  <c r="E13" i="10"/>
  <c r="Q13" i="10" s="1"/>
  <c r="T51" i="10" s="1"/>
  <c r="D13" i="10"/>
  <c r="R13" i="10" s="1"/>
  <c r="P14" i="10"/>
  <c r="K9" i="10"/>
  <c r="K10" i="10" s="1"/>
  <c r="M52" i="9"/>
  <c r="L52" i="9"/>
  <c r="K52" i="9"/>
  <c r="J52" i="9"/>
  <c r="I52" i="9"/>
  <c r="H52" i="9"/>
  <c r="G52" i="9"/>
  <c r="F52" i="9"/>
  <c r="E52" i="9"/>
  <c r="D52" i="9"/>
  <c r="M51" i="9"/>
  <c r="L51" i="9"/>
  <c r="K51" i="9"/>
  <c r="J51" i="9"/>
  <c r="I51" i="9"/>
  <c r="H51" i="9"/>
  <c r="G51" i="9"/>
  <c r="F51" i="9"/>
  <c r="E51" i="9"/>
  <c r="D51" i="9"/>
  <c r="A50" i="9"/>
  <c r="L49" i="9"/>
  <c r="K49" i="9"/>
  <c r="J49" i="9"/>
  <c r="G49" i="9"/>
  <c r="D49" i="9"/>
  <c r="A49" i="9"/>
  <c r="J48" i="9"/>
  <c r="I48" i="9"/>
  <c r="F48" i="9"/>
  <c r="I45" i="9"/>
  <c r="M44" i="9"/>
  <c r="L44" i="9"/>
  <c r="K44" i="9"/>
  <c r="K45" i="9" s="1"/>
  <c r="J44" i="9"/>
  <c r="I44" i="9"/>
  <c r="H44" i="9"/>
  <c r="G44" i="9"/>
  <c r="F44" i="9"/>
  <c r="E44" i="9"/>
  <c r="D44" i="9"/>
  <c r="M43" i="9"/>
  <c r="M46" i="9" s="1"/>
  <c r="L43" i="9"/>
  <c r="L46" i="9" s="1"/>
  <c r="K43" i="9"/>
  <c r="K46" i="9" s="1"/>
  <c r="J43" i="9"/>
  <c r="J46" i="9" s="1"/>
  <c r="I43" i="9"/>
  <c r="I49" i="9" s="1"/>
  <c r="H43" i="9"/>
  <c r="H45" i="9" s="1"/>
  <c r="G43" i="9"/>
  <c r="G45" i="9" s="1"/>
  <c r="F43" i="9"/>
  <c r="F45" i="9" s="1"/>
  <c r="E43" i="9"/>
  <c r="E45" i="9" s="1"/>
  <c r="D43" i="9"/>
  <c r="D46" i="9" s="1"/>
  <c r="B43" i="9"/>
  <c r="L37" i="9"/>
  <c r="I37" i="9"/>
  <c r="D37" i="9"/>
  <c r="M36" i="9"/>
  <c r="L36" i="9"/>
  <c r="K36" i="9"/>
  <c r="J36" i="9"/>
  <c r="I36" i="9"/>
  <c r="H36" i="9"/>
  <c r="G36" i="9"/>
  <c r="F36" i="9"/>
  <c r="F37" i="9" s="1"/>
  <c r="E36" i="9"/>
  <c r="D36" i="9"/>
  <c r="M35" i="9"/>
  <c r="M38" i="9" s="1"/>
  <c r="M50" i="9" s="1"/>
  <c r="L35" i="9"/>
  <c r="L38" i="9" s="1"/>
  <c r="L50" i="9" s="1"/>
  <c r="K35" i="9"/>
  <c r="K37" i="9" s="1"/>
  <c r="J35" i="9"/>
  <c r="J37" i="9" s="1"/>
  <c r="I35" i="9"/>
  <c r="I38" i="9" s="1"/>
  <c r="I50" i="9" s="1"/>
  <c r="H35" i="9"/>
  <c r="H38" i="9" s="1"/>
  <c r="H50" i="9" s="1"/>
  <c r="G35" i="9"/>
  <c r="G38" i="9" s="1"/>
  <c r="G50" i="9" s="1"/>
  <c r="F35" i="9"/>
  <c r="F38" i="9" s="1"/>
  <c r="F50" i="9" s="1"/>
  <c r="E35" i="9"/>
  <c r="E38" i="9" s="1"/>
  <c r="E50" i="9" s="1"/>
  <c r="D35" i="9"/>
  <c r="D38" i="9" s="1"/>
  <c r="D50" i="9" s="1"/>
  <c r="B35" i="9"/>
  <c r="L28" i="9"/>
  <c r="I28" i="9"/>
  <c r="H28" i="9"/>
  <c r="G28" i="9"/>
  <c r="D28" i="9"/>
  <c r="K27" i="9"/>
  <c r="J27" i="9"/>
  <c r="I27" i="9"/>
  <c r="F27" i="9"/>
  <c r="M26" i="9"/>
  <c r="M25" i="9"/>
  <c r="H25" i="9"/>
  <c r="E25" i="9"/>
  <c r="M24" i="9"/>
  <c r="M28" i="9" s="1"/>
  <c r="L24" i="9"/>
  <c r="K24" i="9"/>
  <c r="K28" i="9" s="1"/>
  <c r="J24" i="9"/>
  <c r="J28" i="9" s="1"/>
  <c r="J29" i="9" s="1"/>
  <c r="I24" i="9"/>
  <c r="H24" i="9"/>
  <c r="G24" i="9"/>
  <c r="F24" i="9"/>
  <c r="F28" i="9" s="1"/>
  <c r="E24" i="9"/>
  <c r="E28" i="9" s="1"/>
  <c r="D24" i="9"/>
  <c r="M23" i="9"/>
  <c r="M48" i="9" s="1"/>
  <c r="L23" i="9"/>
  <c r="L25" i="9" s="1"/>
  <c r="K23" i="9"/>
  <c r="K26" i="9" s="1"/>
  <c r="J23" i="9"/>
  <c r="J26" i="9" s="1"/>
  <c r="I23" i="9"/>
  <c r="I26" i="9" s="1"/>
  <c r="H23" i="9"/>
  <c r="H48" i="9" s="1"/>
  <c r="G23" i="9"/>
  <c r="G25" i="9" s="1"/>
  <c r="F23" i="9"/>
  <c r="F25" i="9" s="1"/>
  <c r="E23" i="9"/>
  <c r="E48" i="9" s="1"/>
  <c r="D23" i="9"/>
  <c r="D26" i="9" s="1"/>
  <c r="B23" i="9"/>
  <c r="M13" i="9"/>
  <c r="L13" i="9"/>
  <c r="K13" i="9"/>
  <c r="O13" i="9" s="1"/>
  <c r="J13" i="9"/>
  <c r="I13" i="9"/>
  <c r="H13" i="9"/>
  <c r="G13" i="9"/>
  <c r="F13" i="9"/>
  <c r="E13" i="9"/>
  <c r="D13" i="9"/>
  <c r="N13" i="9" s="1"/>
  <c r="Q51" i="9" s="1"/>
  <c r="B11" i="9"/>
  <c r="F14" i="9" s="1"/>
  <c r="B8" i="9"/>
  <c r="G9" i="9" s="1"/>
  <c r="G10" i="9" s="1"/>
  <c r="M6" i="9"/>
  <c r="L6" i="9"/>
  <c r="K6" i="9"/>
  <c r="K47" i="9" s="1"/>
  <c r="J6" i="9"/>
  <c r="I6" i="9"/>
  <c r="H6" i="9"/>
  <c r="G6" i="9"/>
  <c r="F6" i="9"/>
  <c r="E6" i="9"/>
  <c r="D6" i="9"/>
  <c r="M5" i="9"/>
  <c r="M47" i="9" s="1"/>
  <c r="L5" i="9"/>
  <c r="K5" i="9"/>
  <c r="J5" i="9"/>
  <c r="J47" i="9" s="1"/>
  <c r="I5" i="9"/>
  <c r="I47" i="9" s="1"/>
  <c r="H5" i="9"/>
  <c r="G5" i="9"/>
  <c r="F5" i="9"/>
  <c r="F47" i="9" s="1"/>
  <c r="E5" i="9"/>
  <c r="E47" i="9" s="1"/>
  <c r="D5" i="9"/>
  <c r="M4" i="9"/>
  <c r="L4" i="9"/>
  <c r="L47" i="9" s="1"/>
  <c r="K4" i="9"/>
  <c r="J4" i="9"/>
  <c r="I4" i="9"/>
  <c r="H4" i="9"/>
  <c r="H47" i="9" s="1"/>
  <c r="G4" i="9"/>
  <c r="G47" i="9" s="1"/>
  <c r="F4" i="9"/>
  <c r="E4" i="9"/>
  <c r="D4" i="9"/>
  <c r="D47" i="9" s="1"/>
  <c r="L9" i="9" l="1"/>
  <c r="L10" i="9" s="1"/>
  <c r="M9" i="9"/>
  <c r="M10" i="9" s="1"/>
  <c r="J9" i="9"/>
  <c r="J10" i="9" s="1"/>
  <c r="D9" i="9"/>
  <c r="D10" i="9" s="1"/>
  <c r="E9" i="9"/>
  <c r="E10" i="9" s="1"/>
  <c r="F9" i="9"/>
  <c r="F10" i="9" s="1"/>
  <c r="H9" i="9"/>
  <c r="H10" i="9" s="1"/>
  <c r="I9" i="9"/>
  <c r="I10" i="9" s="1"/>
  <c r="O52" i="9"/>
  <c r="O51" i="9"/>
  <c r="N51" i="9"/>
  <c r="K29" i="9"/>
  <c r="N26" i="10"/>
  <c r="F26" i="10"/>
  <c r="K26" i="10"/>
  <c r="J26" i="10"/>
  <c r="P29" i="10"/>
  <c r="Q49" i="10"/>
  <c r="E29" i="10"/>
  <c r="R45" i="10"/>
  <c r="R37" i="10"/>
  <c r="P51" i="9"/>
  <c r="E26" i="10"/>
  <c r="M26" i="10"/>
  <c r="M29" i="10"/>
  <c r="O50" i="9"/>
  <c r="G14" i="9"/>
  <c r="E46" i="9"/>
  <c r="E26" i="9"/>
  <c r="E37" i="9"/>
  <c r="O37" i="9" s="1"/>
  <c r="J45" i="9"/>
  <c r="F46" i="9"/>
  <c r="D9" i="10"/>
  <c r="D10" i="10" s="1"/>
  <c r="O26" i="10"/>
  <c r="K38" i="10"/>
  <c r="H48" i="10"/>
  <c r="I14" i="9"/>
  <c r="J25" i="9"/>
  <c r="F26" i="9"/>
  <c r="B27" i="9"/>
  <c r="K30" i="9" s="1"/>
  <c r="N37" i="9"/>
  <c r="Q50" i="9" s="1"/>
  <c r="J38" i="9"/>
  <c r="J50" i="9" s="1"/>
  <c r="N50" i="9" s="1"/>
  <c r="G46" i="9"/>
  <c r="K48" i="9"/>
  <c r="E9" i="10"/>
  <c r="E10" i="10" s="1"/>
  <c r="M9" i="10"/>
  <c r="M10" i="10" s="1"/>
  <c r="G25" i="10"/>
  <c r="Q25" i="10" s="1"/>
  <c r="T48" i="10" s="1"/>
  <c r="O25" i="10"/>
  <c r="H26" i="10"/>
  <c r="P26" i="10"/>
  <c r="J27" i="10"/>
  <c r="H29" i="10"/>
  <c r="K37" i="10"/>
  <c r="Q37" i="10" s="1"/>
  <c r="T50" i="10" s="1"/>
  <c r="D38" i="10"/>
  <c r="L38" i="10"/>
  <c r="K46" i="10"/>
  <c r="I48" i="10"/>
  <c r="G49" i="10"/>
  <c r="R49" i="10" s="1"/>
  <c r="O49" i="10"/>
  <c r="E50" i="10"/>
  <c r="M50" i="10"/>
  <c r="L26" i="9"/>
  <c r="H14" i="9"/>
  <c r="I25" i="9"/>
  <c r="F29" i="9"/>
  <c r="M37" i="9"/>
  <c r="L9" i="10"/>
  <c r="L10" i="10" s="1"/>
  <c r="G26" i="10"/>
  <c r="J46" i="10"/>
  <c r="P48" i="10"/>
  <c r="D50" i="10"/>
  <c r="L50" i="10"/>
  <c r="K9" i="9"/>
  <c r="K10" i="9" s="1"/>
  <c r="J14" i="9"/>
  <c r="K25" i="9"/>
  <c r="G26" i="9"/>
  <c r="D27" i="9"/>
  <c r="L27" i="9"/>
  <c r="G37" i="9"/>
  <c r="K38" i="9"/>
  <c r="K50" i="9" s="1"/>
  <c r="D45" i="9"/>
  <c r="L45" i="9"/>
  <c r="H46" i="9"/>
  <c r="D48" i="9"/>
  <c r="L48" i="9"/>
  <c r="E49" i="9"/>
  <c r="O49" i="9" s="1"/>
  <c r="M49" i="9"/>
  <c r="F9" i="10"/>
  <c r="F10" i="10" s="1"/>
  <c r="N9" i="10"/>
  <c r="N10" i="10" s="1"/>
  <c r="D14" i="10"/>
  <c r="L14" i="10"/>
  <c r="P25" i="10"/>
  <c r="P30" i="10"/>
  <c r="K27" i="10"/>
  <c r="I29" i="10"/>
  <c r="K45" i="10"/>
  <c r="Q45" i="10" s="1"/>
  <c r="T49" i="10" s="1"/>
  <c r="S49" i="10" s="1"/>
  <c r="D46" i="10"/>
  <c r="L46" i="10"/>
  <c r="H49" i="10"/>
  <c r="P49" i="10"/>
  <c r="K14" i="9"/>
  <c r="D25" i="9"/>
  <c r="H26" i="9"/>
  <c r="E27" i="9"/>
  <c r="M27" i="9"/>
  <c r="I29" i="9"/>
  <c r="H37" i="9"/>
  <c r="M45" i="9"/>
  <c r="I46" i="9"/>
  <c r="F49" i="9"/>
  <c r="G9" i="10"/>
  <c r="G10" i="10" s="1"/>
  <c r="O9" i="10"/>
  <c r="O10" i="10" s="1"/>
  <c r="D27" i="10"/>
  <c r="L27" i="10"/>
  <c r="F38" i="10"/>
  <c r="N38" i="10"/>
  <c r="E46" i="10"/>
  <c r="M46" i="10"/>
  <c r="K48" i="10"/>
  <c r="G50" i="10"/>
  <c r="O50" i="10"/>
  <c r="D14" i="9"/>
  <c r="P9" i="10"/>
  <c r="P10" i="10" s="1"/>
  <c r="F46" i="10"/>
  <c r="N46" i="10"/>
  <c r="D48" i="10"/>
  <c r="L48" i="10"/>
  <c r="E14" i="9"/>
  <c r="M14" i="9"/>
  <c r="G27" i="9"/>
  <c r="G48" i="9"/>
  <c r="N48" i="9" s="1"/>
  <c r="H49" i="9"/>
  <c r="I9" i="10"/>
  <c r="I10" i="10" s="1"/>
  <c r="G14" i="10"/>
  <c r="O14" i="10"/>
  <c r="D26" i="10"/>
  <c r="L26" i="10"/>
  <c r="F27" i="10"/>
  <c r="N27" i="10"/>
  <c r="H38" i="10"/>
  <c r="P38" i="10"/>
  <c r="G46" i="10"/>
  <c r="O46" i="10"/>
  <c r="E48" i="10"/>
  <c r="M48" i="10"/>
  <c r="I50" i="10"/>
  <c r="L14" i="9"/>
  <c r="H9" i="10"/>
  <c r="H10" i="10" s="1"/>
  <c r="J25" i="10"/>
  <c r="R25" i="10" s="1"/>
  <c r="H50" i="10"/>
  <c r="P50" i="10"/>
  <c r="H27" i="9"/>
  <c r="J9" i="10"/>
  <c r="J10" i="10" s="1"/>
  <c r="H14" i="10"/>
  <c r="G27" i="10"/>
  <c r="O27" i="10"/>
  <c r="Q51" i="10"/>
  <c r="S51" i="10" s="1"/>
  <c r="R51" i="10"/>
  <c r="F30" i="9" l="1"/>
  <c r="S48" i="10"/>
  <c r="S50" i="10"/>
  <c r="D29" i="10"/>
  <c r="D30" i="10"/>
  <c r="O45" i="9"/>
  <c r="N45" i="9"/>
  <c r="Q49" i="9" s="1"/>
  <c r="R48" i="10"/>
  <c r="Q48" i="10"/>
  <c r="E29" i="9"/>
  <c r="E30" i="9"/>
  <c r="J30" i="9"/>
  <c r="R50" i="10"/>
  <c r="Q50" i="10"/>
  <c r="I30" i="9"/>
  <c r="D29" i="9"/>
  <c r="D30" i="9"/>
  <c r="I30" i="10"/>
  <c r="M29" i="9"/>
  <c r="M30" i="9"/>
  <c r="O30" i="10"/>
  <c r="O29" i="10"/>
  <c r="O25" i="9"/>
  <c r="N25" i="9"/>
  <c r="Q48" i="9" s="1"/>
  <c r="P48" i="9" s="1"/>
  <c r="L29" i="9"/>
  <c r="L30" i="9"/>
  <c r="G30" i="10"/>
  <c r="G29" i="10"/>
  <c r="F29" i="10"/>
  <c r="F30" i="10"/>
  <c r="G30" i="9"/>
  <c r="G29" i="9"/>
  <c r="M30" i="10"/>
  <c r="O48" i="9"/>
  <c r="H30" i="10"/>
  <c r="P50" i="9"/>
  <c r="N29" i="10"/>
  <c r="N30" i="10"/>
  <c r="E30" i="10"/>
  <c r="J29" i="10"/>
  <c r="J30" i="10"/>
  <c r="N49" i="9"/>
  <c r="K29" i="10"/>
  <c r="K30" i="10"/>
  <c r="H30" i="9"/>
  <c r="H29" i="9"/>
  <c r="L29" i="10"/>
  <c r="L30" i="10"/>
  <c r="P49" i="9" l="1"/>
  <c r="F23" i="8" l="1"/>
  <c r="F22" i="8"/>
  <c r="H17" i="8"/>
  <c r="H16" i="8"/>
  <c r="H15" i="8"/>
  <c r="H14" i="8"/>
  <c r="D14" i="8"/>
  <c r="H13" i="8"/>
  <c r="H12" i="8"/>
  <c r="H11" i="8"/>
  <c r="D11" i="8"/>
  <c r="H10" i="8"/>
  <c r="D10" i="8"/>
  <c r="H9" i="8"/>
  <c r="D9" i="8"/>
  <c r="H8" i="8"/>
  <c r="H7" i="8"/>
  <c r="D7" i="8"/>
  <c r="I7" i="8" s="1"/>
  <c r="H6" i="8"/>
  <c r="D6" i="8"/>
  <c r="H5" i="8"/>
  <c r="D5" i="8"/>
  <c r="H4" i="8"/>
  <c r="H3" i="8"/>
  <c r="D3" i="8"/>
  <c r="E3" i="8" s="1"/>
  <c r="G9" i="8" l="1"/>
  <c r="F9" i="8"/>
  <c r="D15" i="8"/>
  <c r="I15" i="8" s="1"/>
  <c r="L15" i="8" s="1"/>
  <c r="G6" i="8"/>
  <c r="I6" i="8"/>
  <c r="E5" i="8"/>
  <c r="G5" i="8"/>
  <c r="E6" i="8"/>
  <c r="G11" i="8"/>
  <c r="F11" i="8"/>
  <c r="E11" i="8"/>
  <c r="I11" i="8"/>
  <c r="F6" i="8"/>
  <c r="D4" i="8"/>
  <c r="I10" i="8"/>
  <c r="G10" i="8"/>
  <c r="F10" i="8"/>
  <c r="E10" i="8"/>
  <c r="E9" i="8"/>
  <c r="I9" i="8"/>
  <c r="J15" i="8"/>
  <c r="K15" i="8" s="1"/>
  <c r="D8" i="8"/>
  <c r="L7" i="8"/>
  <c r="J7" i="8"/>
  <c r="K7" i="8" s="1"/>
  <c r="F5" i="8"/>
  <c r="G3" i="8"/>
  <c r="F3" i="8"/>
  <c r="I3" i="8"/>
  <c r="I5" i="8"/>
  <c r="G14" i="8"/>
  <c r="F14" i="8"/>
  <c r="I14" i="8"/>
  <c r="E14" i="8"/>
  <c r="D16" i="8"/>
  <c r="E7" i="8"/>
  <c r="D12" i="8"/>
  <c r="E15" i="8"/>
  <c r="F7" i="8"/>
  <c r="D17" i="8"/>
  <c r="G7" i="8"/>
  <c r="D13" i="8"/>
  <c r="G15" i="8" l="1"/>
  <c r="F15" i="8"/>
  <c r="F16" i="8"/>
  <c r="E16" i="8"/>
  <c r="G16" i="8"/>
  <c r="I16" i="8"/>
  <c r="L14" i="8"/>
  <c r="J14" i="8"/>
  <c r="K14" i="8" s="1"/>
  <c r="J10" i="8"/>
  <c r="K10" i="8" s="1"/>
  <c r="L10" i="8"/>
  <c r="J6" i="8"/>
  <c r="K6" i="8" s="1"/>
  <c r="L6" i="8"/>
  <c r="F12" i="8"/>
  <c r="E12" i="8"/>
  <c r="I12" i="8"/>
  <c r="G12" i="8"/>
  <c r="J5" i="8"/>
  <c r="K5" i="8" s="1"/>
  <c r="L5" i="8"/>
  <c r="L11" i="8"/>
  <c r="J11" i="8"/>
  <c r="K11" i="8" s="1"/>
  <c r="J9" i="8"/>
  <c r="K9" i="8" s="1"/>
  <c r="L9" i="8"/>
  <c r="E13" i="8"/>
  <c r="I13" i="8"/>
  <c r="G13" i="8"/>
  <c r="F13" i="8"/>
  <c r="F8" i="8"/>
  <c r="E8" i="8"/>
  <c r="G8" i="8"/>
  <c r="I8" i="8"/>
  <c r="F4" i="8"/>
  <c r="E4" i="8"/>
  <c r="I4" i="8"/>
  <c r="G4" i="8"/>
  <c r="L3" i="8"/>
  <c r="J3" i="8"/>
  <c r="K3" i="8" s="1"/>
  <c r="G17" i="8"/>
  <c r="E17" i="8"/>
  <c r="I17" i="8"/>
  <c r="F17" i="8"/>
  <c r="G19" i="8" l="1"/>
  <c r="G24" i="8" s="1"/>
  <c r="F19" i="8"/>
  <c r="F24" i="8" s="1"/>
  <c r="L4" i="8"/>
  <c r="J4" i="8"/>
  <c r="K4" i="8" s="1"/>
  <c r="J13" i="8"/>
  <c r="K13" i="8" s="1"/>
  <c r="L13" i="8"/>
  <c r="F20" i="8"/>
  <c r="E21" i="8"/>
  <c r="E20" i="8"/>
  <c r="E19" i="8"/>
  <c r="E24" i="8" s="1"/>
  <c r="G20" i="8"/>
  <c r="F21" i="8"/>
  <c r="J17" i="8"/>
  <c r="K17" i="8" s="1"/>
  <c r="L17" i="8"/>
  <c r="G21" i="8"/>
  <c r="L8" i="8"/>
  <c r="J8" i="8"/>
  <c r="K8" i="8" s="1"/>
  <c r="L12" i="8"/>
  <c r="J12" i="8"/>
  <c r="K12" i="8" s="1"/>
  <c r="L16" i="8"/>
  <c r="J16" i="8"/>
  <c r="K16" i="8" s="1"/>
  <c r="H4" i="7" l="1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3" i="7"/>
  <c r="F24" i="7" l="1"/>
  <c r="F23" i="7" l="1"/>
  <c r="D3" i="7" l="1"/>
  <c r="I3" i="7" l="1"/>
  <c r="G3" i="7"/>
  <c r="E3" i="7"/>
  <c r="F3" i="7"/>
  <c r="L3" i="7"/>
  <c r="J3" i="7"/>
  <c r="K3" i="7" s="1"/>
  <c r="D4" i="7" l="1"/>
  <c r="D5" i="7" l="1"/>
  <c r="E4" i="7"/>
  <c r="G4" i="7"/>
  <c r="I4" i="7"/>
  <c r="F4" i="7"/>
  <c r="L4" i="7" l="1"/>
  <c r="J4" i="7"/>
  <c r="K4" i="7" s="1"/>
  <c r="F5" i="7"/>
  <c r="I5" i="7"/>
  <c r="G5" i="7"/>
  <c r="E5" i="7"/>
  <c r="L5" i="7" l="1"/>
  <c r="J5" i="7"/>
  <c r="K5" i="7" s="1"/>
  <c r="D6" i="7"/>
  <c r="F6" i="7" l="1"/>
  <c r="G6" i="7"/>
  <c r="E6" i="7"/>
  <c r="I6" i="7"/>
  <c r="L6" i="7" l="1"/>
  <c r="J6" i="7"/>
  <c r="K6" i="7" s="1"/>
  <c r="D7" i="7"/>
  <c r="E7" i="7" l="1"/>
  <c r="F7" i="7"/>
  <c r="I7" i="7"/>
  <c r="G7" i="7"/>
  <c r="J7" i="7" l="1"/>
  <c r="K7" i="7" s="1"/>
  <c r="L7" i="7"/>
  <c r="D8" i="7"/>
  <c r="I8" i="7" l="1"/>
  <c r="G8" i="7"/>
  <c r="F8" i="7"/>
  <c r="E8" i="7"/>
  <c r="L8" i="7" l="1"/>
  <c r="J8" i="7"/>
  <c r="K8" i="7" s="1"/>
  <c r="D9" i="7" l="1"/>
  <c r="I9" i="7" l="1"/>
  <c r="G9" i="7"/>
  <c r="E9" i="7"/>
  <c r="F9" i="7"/>
  <c r="L9" i="7" l="1"/>
  <c r="J9" i="7"/>
  <c r="K9" i="7" s="1"/>
  <c r="D10" i="7" l="1"/>
  <c r="G10" i="7" l="1"/>
  <c r="F10" i="7"/>
  <c r="E10" i="7"/>
  <c r="I10" i="7"/>
  <c r="L10" i="7" l="1"/>
  <c r="J10" i="7"/>
  <c r="K10" i="7" s="1"/>
  <c r="D11" i="7" l="1"/>
  <c r="F11" i="7" l="1"/>
  <c r="I11" i="7"/>
  <c r="E11" i="7"/>
  <c r="G11" i="7"/>
  <c r="L11" i="7" l="1"/>
  <c r="J11" i="7"/>
  <c r="K11" i="7" s="1"/>
  <c r="D12" i="7" l="1"/>
  <c r="F12" i="7" l="1"/>
  <c r="G12" i="7"/>
  <c r="I12" i="7"/>
  <c r="E12" i="7"/>
  <c r="J12" i="7" l="1"/>
  <c r="K12" i="7" s="1"/>
  <c r="L12" i="7"/>
  <c r="D13" i="7" l="1"/>
  <c r="E13" i="7" l="1"/>
  <c r="F13" i="7"/>
  <c r="G13" i="7"/>
  <c r="I13" i="7"/>
  <c r="L13" i="7" l="1"/>
  <c r="J13" i="7"/>
  <c r="K13" i="7" s="1"/>
  <c r="D14" i="7" l="1"/>
  <c r="D15" i="7" l="1"/>
  <c r="F14" i="7"/>
  <c r="E14" i="7"/>
  <c r="G14" i="7"/>
  <c r="I14" i="7"/>
  <c r="L14" i="7" l="1"/>
  <c r="J14" i="7"/>
  <c r="K14" i="7" s="1"/>
  <c r="F15" i="7"/>
  <c r="I15" i="7"/>
  <c r="G15" i="7"/>
  <c r="E15" i="7"/>
  <c r="D16" i="7"/>
  <c r="L15" i="7" l="1"/>
  <c r="J15" i="7"/>
  <c r="K15" i="7" s="1"/>
  <c r="I16" i="7"/>
  <c r="G16" i="7"/>
  <c r="F16" i="7"/>
  <c r="E16" i="7"/>
  <c r="L16" i="7" l="1"/>
  <c r="J16" i="7"/>
  <c r="K16" i="7" s="1"/>
  <c r="D17" i="7"/>
  <c r="G17" i="7" l="1"/>
  <c r="E17" i="7"/>
  <c r="F17" i="7"/>
  <c r="I17" i="7"/>
  <c r="L17" i="7" l="1"/>
  <c r="J17" i="7"/>
  <c r="K17" i="7" s="1"/>
  <c r="D18" i="7"/>
  <c r="I18" i="7" l="1"/>
  <c r="G18" i="7"/>
  <c r="E18" i="7"/>
  <c r="E20" i="7" s="1"/>
  <c r="F18" i="7"/>
  <c r="F20" i="7" s="1"/>
  <c r="L18" i="7" l="1"/>
  <c r="J18" i="7"/>
  <c r="K18" i="7" s="1"/>
  <c r="E22" i="7"/>
  <c r="E25" i="7"/>
  <c r="E21" i="7"/>
  <c r="G21" i="7"/>
  <c r="G20" i="7"/>
  <c r="G25" i="7" s="1"/>
  <c r="G22" i="7"/>
  <c r="F22" i="7" l="1"/>
  <c r="F25" i="7"/>
  <c r="F21" i="7"/>
</calcChain>
</file>

<file path=xl/sharedStrings.xml><?xml version="1.0" encoding="utf-8"?>
<sst xmlns="http://schemas.openxmlformats.org/spreadsheetml/2006/main" count="300" uniqueCount="65">
  <si>
    <t xml:space="preserve">J0 </t>
  </si>
  <si>
    <t>n=2</t>
  </si>
  <si>
    <t>n=1.5</t>
  </si>
  <si>
    <t>n=0</t>
  </si>
  <si>
    <t>t (s)</t>
  </si>
  <si>
    <t>R2</t>
  </si>
  <si>
    <t>J (L/h·m2)</t>
  </si>
  <si>
    <t>rf/rt</t>
  </si>
  <si>
    <t>J (m/s)</t>
  </si>
  <si>
    <t>ln (J-J*)</t>
  </si>
  <si>
    <t>1/J^0.5</t>
  </si>
  <si>
    <t>ln(J/(J-J*)-J*/J</t>
  </si>
  <si>
    <t>DV</t>
  </si>
  <si>
    <t>pte</t>
  </si>
  <si>
    <t>oo</t>
  </si>
  <si>
    <t xml:space="preserve">J* </t>
  </si>
  <si>
    <t>k</t>
  </si>
  <si>
    <t>rm (m-1)</t>
  </si>
  <si>
    <t>rf 10^13</t>
  </si>
  <si>
    <t>rT (m-1)</t>
  </si>
  <si>
    <t>rf (m-1)</t>
  </si>
  <si>
    <t>DF 50 kDa, 1bar, 25 ºC</t>
  </si>
  <si>
    <t>DV=Vp/Vr</t>
  </si>
  <si>
    <t>J0 (m/s)</t>
  </si>
  <si>
    <t>J* (m/s)</t>
  </si>
  <si>
    <t>C0 (g/L)</t>
  </si>
  <si>
    <t>POS</t>
  </si>
  <si>
    <t>Cp (g/L)</t>
  </si>
  <si>
    <t>Cp/C0=1-R</t>
  </si>
  <si>
    <t>R (%)</t>
  </si>
  <si>
    <t>GA</t>
  </si>
  <si>
    <t>Cr (g/L)</t>
  </si>
  <si>
    <t>Cp/Cr=T</t>
  </si>
  <si>
    <t>gal</t>
  </si>
  <si>
    <t>glu</t>
  </si>
  <si>
    <t>xyl</t>
  </si>
  <si>
    <t>ara</t>
  </si>
  <si>
    <t>MS</t>
  </si>
  <si>
    <t>TMS</t>
  </si>
  <si>
    <t>FA</t>
  </si>
  <si>
    <t>AcA</t>
  </si>
  <si>
    <t>OA</t>
  </si>
  <si>
    <t>F</t>
  </si>
  <si>
    <t>HMF</t>
  </si>
  <si>
    <t xml:space="preserve">SDP </t>
  </si>
  <si>
    <t>ln[Jo(J-J*)/J(J0-J*)</t>
  </si>
  <si>
    <t>Slope</t>
  </si>
  <si>
    <t>R2 (n=0)</t>
  </si>
  <si>
    <t>kcl (n=0)</t>
  </si>
  <si>
    <t>T</t>
  </si>
  <si>
    <t>ln Cp</t>
  </si>
  <si>
    <t>DF 100 kDa, 1bar, 25 ºC</t>
  </si>
  <si>
    <t xml:space="preserve">POS </t>
  </si>
  <si>
    <t>RFi_50 kDa</t>
  </si>
  <si>
    <t>RFi_100 kDa</t>
  </si>
  <si>
    <t>50 kDa</t>
  </si>
  <si>
    <t>final permeate</t>
  </si>
  <si>
    <t>final retentate</t>
  </si>
  <si>
    <t>100 kDa</t>
  </si>
  <si>
    <t>p 50kDa</t>
  </si>
  <si>
    <t>r 50kDa</t>
  </si>
  <si>
    <t>p 100kDa</t>
  </si>
  <si>
    <t>r 100kDa</t>
  </si>
  <si>
    <t>ND</t>
  </si>
  <si>
    <t>TPC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</si>
</sst>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0.000"/>
    <numFmt numFmtId="166" formatCode="0.00000000"/>
    <numFmt numFmtId="167" formatCode="0.00000"/>
    <numFmt numFmtId="168" formatCode="0.0E+00"/>
    <numFmt numFmtId="169" formatCode="0.0000"/>
    <numFmt numFmtId="170" formatCode="0.000E+0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1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3" fillId="0" borderId="0" xfId="0" applyFont="1"/>
    <xf numFmtId="169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center"/>
    </xf>
    <xf numFmtId="165" fontId="4" fillId="0" borderId="0" xfId="0" applyNumberFormat="1" applyFont="1" applyAlignment="1">
      <alignment horizontal="center" vertical="center"/>
    </xf>
    <xf numFmtId="17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D1FF"/>
      <color rgb="FFA3FFA3"/>
      <color rgb="FF008FFA"/>
      <color rgb="FFFF99FF"/>
      <color rgb="FF66FF66"/>
      <color rgb="FF29A4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7015753513917867"/>
          <c:y val="5.8540554645617193E-2"/>
          <c:w val="0.69020878946385433"/>
          <c:h val="0.78456801909834695"/>
        </c:manualLayout>
      </c:layout>
      <c:scatterChart>
        <c:scatterStyle val="lineMarker"/>
        <c:varyColors val="0"/>
        <c:ser>
          <c:idx val="1"/>
          <c:order val="0"/>
          <c:tx>
            <c:v>J (50 kDa)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ysClr val="windowText" lastClr="000000">
                  <a:lumMod val="50000"/>
                  <a:lumOff val="50000"/>
                </a:sysClr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'J (50 kDa)'!$A$3:$A$18</c:f>
              <c:numCache>
                <c:formatCode>0.00</c:formatCode>
                <c:ptCount val="16"/>
                <c:pt idx="0">
                  <c:v>0.17999999999999997</c:v>
                </c:pt>
                <c:pt idx="1">
                  <c:v>0.47537999999999997</c:v>
                </c:pt>
                <c:pt idx="2">
                  <c:v>0.66205999999999965</c:v>
                </c:pt>
                <c:pt idx="3">
                  <c:v>0.84204999999999985</c:v>
                </c:pt>
                <c:pt idx="4">
                  <c:v>1.0124500000000001</c:v>
                </c:pt>
                <c:pt idx="5">
                  <c:v>1.3860500000000002</c:v>
                </c:pt>
                <c:pt idx="6">
                  <c:v>1.8568700000000002</c:v>
                </c:pt>
                <c:pt idx="7">
                  <c:v>2.3247600000000008</c:v>
                </c:pt>
                <c:pt idx="8">
                  <c:v>2.7862500000000003</c:v>
                </c:pt>
                <c:pt idx="9">
                  <c:v>3.2390699999999999</c:v>
                </c:pt>
                <c:pt idx="10">
                  <c:v>3.6997200000000001</c:v>
                </c:pt>
                <c:pt idx="11">
                  <c:v>4.1817899999999995</c:v>
                </c:pt>
                <c:pt idx="12">
                  <c:v>4.7144666666666675</c:v>
                </c:pt>
                <c:pt idx="13">
                  <c:v>5.0797058823529397</c:v>
                </c:pt>
                <c:pt idx="14">
                  <c:v>5.5911000000000008</c:v>
                </c:pt>
                <c:pt idx="15">
                  <c:v>6.1705199999999998</c:v>
                </c:pt>
              </c:numCache>
            </c:numRef>
          </c:xVal>
          <c:yVal>
            <c:numRef>
              <c:f>'J (50 kDa)'!$C$3:$C$18</c:f>
              <c:numCache>
                <c:formatCode>0.0</c:formatCode>
                <c:ptCount val="16"/>
                <c:pt idx="0">
                  <c:v>16.363636363636363</c:v>
                </c:pt>
                <c:pt idx="1">
                  <c:v>14.405454545454544</c:v>
                </c:pt>
                <c:pt idx="2">
                  <c:v>12.037454545454542</c:v>
                </c:pt>
                <c:pt idx="3">
                  <c:v>10.935714285714283</c:v>
                </c:pt>
                <c:pt idx="4">
                  <c:v>10.226767676767677</c:v>
                </c:pt>
                <c:pt idx="5">
                  <c:v>9.618667591950036</c:v>
                </c:pt>
                <c:pt idx="6">
                  <c:v>8.8845454545454565</c:v>
                </c:pt>
                <c:pt idx="7">
                  <c:v>8.4536727272727301</c:v>
                </c:pt>
                <c:pt idx="8">
                  <c:v>8.1708211143695042</c:v>
                </c:pt>
                <c:pt idx="9">
                  <c:v>7.9584029484029495</c:v>
                </c:pt>
                <c:pt idx="10">
                  <c:v>7.8218181818181831</c:v>
                </c:pt>
                <c:pt idx="11">
                  <c:v>7.7331718322361125</c:v>
                </c:pt>
                <c:pt idx="12">
                  <c:v>7.7145818181818182</c:v>
                </c:pt>
                <c:pt idx="13">
                  <c:v>7.6965240641711228</c:v>
                </c:pt>
                <c:pt idx="14">
                  <c:v>7.672178387650086</c:v>
                </c:pt>
                <c:pt idx="15">
                  <c:v>7.6494049586776853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18-4AAC-8ABA-68E5FC021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7059807"/>
        <c:axId val="1702382303"/>
      </c:scatterChart>
      <c:scatterChart>
        <c:scatterStyle val="lineMarker"/>
        <c:varyColors val="0"/>
        <c:ser>
          <c:idx val="0"/>
          <c:order val="1"/>
          <c:tx>
            <c:v>rf 50 kDa</c:v>
          </c:tx>
          <c:spPr>
            <a:ln w="25400" cap="rnd">
              <a:noFill/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'J (50 kDa)'!$A$3:$A$18</c:f>
              <c:numCache>
                <c:formatCode>0.00</c:formatCode>
                <c:ptCount val="16"/>
                <c:pt idx="0">
                  <c:v>0.17999999999999997</c:v>
                </c:pt>
                <c:pt idx="1">
                  <c:v>0.47537999999999997</c:v>
                </c:pt>
                <c:pt idx="2">
                  <c:v>0.66205999999999965</c:v>
                </c:pt>
                <c:pt idx="3">
                  <c:v>0.84204999999999985</c:v>
                </c:pt>
                <c:pt idx="4">
                  <c:v>1.0124500000000001</c:v>
                </c:pt>
                <c:pt idx="5">
                  <c:v>1.3860500000000002</c:v>
                </c:pt>
                <c:pt idx="6">
                  <c:v>1.8568700000000002</c:v>
                </c:pt>
                <c:pt idx="7">
                  <c:v>2.3247600000000008</c:v>
                </c:pt>
                <c:pt idx="8">
                  <c:v>2.7862500000000003</c:v>
                </c:pt>
                <c:pt idx="9">
                  <c:v>3.2390699999999999</c:v>
                </c:pt>
                <c:pt idx="10">
                  <c:v>3.6997200000000001</c:v>
                </c:pt>
                <c:pt idx="11">
                  <c:v>4.1817899999999995</c:v>
                </c:pt>
                <c:pt idx="12">
                  <c:v>4.7144666666666675</c:v>
                </c:pt>
                <c:pt idx="13">
                  <c:v>5.0797058823529397</c:v>
                </c:pt>
                <c:pt idx="14">
                  <c:v>5.5911000000000008</c:v>
                </c:pt>
                <c:pt idx="15">
                  <c:v>6.1705199999999998</c:v>
                </c:pt>
              </c:numCache>
            </c:numRef>
          </c:xVal>
          <c:yVal>
            <c:numRef>
              <c:f>'J (50 kDa)'!$L$3:$L$18</c:f>
              <c:numCache>
                <c:formatCode>0.00</c:formatCode>
                <c:ptCount val="16"/>
                <c:pt idx="0">
                  <c:v>2.5470814130328954</c:v>
                </c:pt>
                <c:pt idx="1">
                  <c:v>2.8933147440737175</c:v>
                </c:pt>
                <c:pt idx="2">
                  <c:v>3.4624856836685605</c:v>
                </c:pt>
                <c:pt idx="3">
                  <c:v>3.8113206821702392</c:v>
                </c:pt>
                <c:pt idx="4">
                  <c:v>4.075531521668518</c:v>
                </c:pt>
                <c:pt idx="5">
                  <c:v>4.3331899801100739</c:v>
                </c:pt>
                <c:pt idx="6">
                  <c:v>4.6912376378381389</c:v>
                </c:pt>
                <c:pt idx="7">
                  <c:v>4.9303439316953277</c:v>
                </c:pt>
                <c:pt idx="8">
                  <c:v>5.1010190344454216</c:v>
                </c:pt>
                <c:pt idx="9">
                  <c:v>5.2371706109466869</c:v>
                </c:pt>
                <c:pt idx="10">
                  <c:v>5.3286222029976882</c:v>
                </c:pt>
                <c:pt idx="11">
                  <c:v>5.3897048889699128</c:v>
                </c:pt>
                <c:pt idx="12">
                  <c:v>5.4026925909602275</c:v>
                </c:pt>
                <c:pt idx="13">
                  <c:v>5.4153685071256987</c:v>
                </c:pt>
                <c:pt idx="14">
                  <c:v>5.4325527803862013</c:v>
                </c:pt>
                <c:pt idx="15">
                  <c:v>5.448726307026674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4C-428E-BEE9-0DD531212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8327871"/>
        <c:axId val="1065096703"/>
      </c:scatterChart>
      <c:valAx>
        <c:axId val="1977059807"/>
        <c:scaling>
          <c:orientation val="minMax"/>
          <c:max val="6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DV</a:t>
                </a:r>
                <a:endParaRPr lang="en-US" sz="1200" baseline="-250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8090743012377396"/>
              <c:y val="0.914463250947437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1702382303"/>
        <c:crosses val="autoZero"/>
        <c:crossBetween val="midCat"/>
        <c:majorUnit val="1"/>
        <c:minorUnit val="0.5"/>
      </c:valAx>
      <c:valAx>
        <c:axId val="1702382303"/>
        <c:scaling>
          <c:orientation val="minMax"/>
          <c:min val="6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 sz="12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  (L</a:t>
                </a:r>
                <a:r>
                  <a:rPr lang="es-ES"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·</a:t>
                </a:r>
                <a:r>
                  <a:rPr lang="es-ES" sz="12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</a:t>
                </a:r>
                <a:r>
                  <a:rPr lang="es-ES" sz="1200" baseline="30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-1</a:t>
                </a:r>
                <a:r>
                  <a:rPr lang="es-ES" sz="12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·m</a:t>
                </a:r>
                <a:r>
                  <a:rPr lang="es-ES" sz="1200" baseline="30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-2</a:t>
                </a:r>
                <a:r>
                  <a:rPr lang="es-ES" sz="12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3170156032959472E-3"/>
              <c:y val="0.374488884922102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1977059807"/>
        <c:crosses val="autoZero"/>
        <c:crossBetween val="midCat"/>
        <c:majorUnit val="2"/>
        <c:minorUnit val="0.5"/>
      </c:valAx>
      <c:valAx>
        <c:axId val="106509670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r</a:t>
                </a:r>
                <a:r>
                  <a:rPr lang="en-US" sz="1000" b="0" i="0" u="none" strike="noStrike" kern="1200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f</a:t>
                </a: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 (10</a:t>
                </a:r>
                <a:r>
                  <a:rPr lang="en-US" sz="1000" b="0" i="0" u="none" strike="noStrike" kern="1200" baseline="30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13</a:t>
                </a: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 m</a:t>
                </a:r>
                <a:r>
                  <a:rPr lang="en-US" sz="1000" b="0" i="0" u="none" strike="noStrike" kern="1200" baseline="30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-1</a:t>
                </a: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)</a:t>
                </a:r>
                <a:endParaRPr lang="es-ES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58327871"/>
        <c:crosses val="max"/>
        <c:crossBetween val="midCat"/>
      </c:valAx>
      <c:valAx>
        <c:axId val="1058327871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065096703"/>
        <c:crosses val="autoZero"/>
        <c:crossBetween val="midCat"/>
      </c:valAx>
      <c:spPr>
        <a:noFill/>
        <a:ln w="12700"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5809190780995257"/>
          <c:y val="0.33240440016681777"/>
          <c:w val="0.23798999799488685"/>
          <c:h val="0.18724531757107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701574672242504"/>
          <c:y val="7.812004731147254E-2"/>
          <c:w val="0.67459192015181069"/>
          <c:h val="0.78456801909834695"/>
        </c:manualLayout>
      </c:layout>
      <c:scatterChart>
        <c:scatterStyle val="lineMarker"/>
        <c:varyColors val="0"/>
        <c:ser>
          <c:idx val="1"/>
          <c:order val="0"/>
          <c:tx>
            <c:v>J (100 kDa)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'J (100 kDa) '!$A$3:$A$17</c:f>
              <c:numCache>
                <c:formatCode>0.00</c:formatCode>
                <c:ptCount val="15"/>
                <c:pt idx="0">
                  <c:v>0.10618811881188119</c:v>
                </c:pt>
                <c:pt idx="1">
                  <c:v>0.30465346534653481</c:v>
                </c:pt>
                <c:pt idx="2">
                  <c:v>0.48706435643564355</c:v>
                </c:pt>
                <c:pt idx="3">
                  <c:v>0.6555742574257426</c:v>
                </c:pt>
                <c:pt idx="4">
                  <c:v>0.82512871287128708</c:v>
                </c:pt>
                <c:pt idx="5">
                  <c:v>1.0610643564356437</c:v>
                </c:pt>
                <c:pt idx="6">
                  <c:v>1.5150346534653467</c:v>
                </c:pt>
                <c:pt idx="7">
                  <c:v>1.9532326732673271</c:v>
                </c:pt>
                <c:pt idx="8">
                  <c:v>2.8119356435643561</c:v>
                </c:pt>
                <c:pt idx="9">
                  <c:v>3.6759999999999988</c:v>
                </c:pt>
                <c:pt idx="10">
                  <c:v>4.5288415841584149</c:v>
                </c:pt>
                <c:pt idx="11">
                  <c:v>5.3743019801980196</c:v>
                </c:pt>
                <c:pt idx="12">
                  <c:v>5.9548118811881183</c:v>
                </c:pt>
                <c:pt idx="13">
                  <c:v>6.0997673267326711</c:v>
                </c:pt>
                <c:pt idx="14">
                  <c:v>6.2436237623762363</c:v>
                </c:pt>
              </c:numCache>
            </c:numRef>
          </c:xVal>
          <c:yVal>
            <c:numRef>
              <c:f>'J (100 kDa) '!$C$3:$C$17</c:f>
              <c:numCache>
                <c:formatCode>0.0</c:formatCode>
                <c:ptCount val="15"/>
                <c:pt idx="0">
                  <c:v>19.5</c:v>
                </c:pt>
                <c:pt idx="1">
                  <c:v>18.648484848484856</c:v>
                </c:pt>
                <c:pt idx="2">
                  <c:v>17.888545454545454</c:v>
                </c:pt>
                <c:pt idx="3">
                  <c:v>17.198181818181819</c:v>
                </c:pt>
                <c:pt idx="4">
                  <c:v>16.835959595959594</c:v>
                </c:pt>
                <c:pt idx="5">
                  <c:v>16.237500000000001</c:v>
                </c:pt>
                <c:pt idx="6">
                  <c:v>15.456414141414143</c:v>
                </c:pt>
                <c:pt idx="7">
                  <c:v>14.945189393939398</c:v>
                </c:pt>
                <c:pt idx="8">
                  <c:v>14.343712121212119</c:v>
                </c:pt>
                <c:pt idx="9">
                  <c:v>14.063484848484844</c:v>
                </c:pt>
                <c:pt idx="10">
                  <c:v>13.860999999999997</c:v>
                </c:pt>
                <c:pt idx="11">
                  <c:v>13.707184343434344</c:v>
                </c:pt>
                <c:pt idx="12">
                  <c:v>13.668999999999997</c:v>
                </c:pt>
                <c:pt idx="13">
                  <c:v>13.66023281596452</c:v>
                </c:pt>
                <c:pt idx="14">
                  <c:v>13.649480519480518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65-4F72-8A42-FB787DB0A0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7059807"/>
        <c:axId val="1702382303"/>
      </c:scatterChart>
      <c:scatterChart>
        <c:scatterStyle val="lineMarker"/>
        <c:varyColors val="0"/>
        <c:ser>
          <c:idx val="0"/>
          <c:order val="1"/>
          <c:tx>
            <c:v>rf 100 kDa</c:v>
          </c:tx>
          <c:spPr>
            <a:ln w="2540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'J (100 kDa) '!$A$3:$A$17</c:f>
              <c:numCache>
                <c:formatCode>0.00</c:formatCode>
                <c:ptCount val="15"/>
                <c:pt idx="0">
                  <c:v>0.10618811881188119</c:v>
                </c:pt>
                <c:pt idx="1">
                  <c:v>0.30465346534653481</c:v>
                </c:pt>
                <c:pt idx="2">
                  <c:v>0.48706435643564355</c:v>
                </c:pt>
                <c:pt idx="3">
                  <c:v>0.6555742574257426</c:v>
                </c:pt>
                <c:pt idx="4">
                  <c:v>0.82512871287128708</c:v>
                </c:pt>
                <c:pt idx="5">
                  <c:v>1.0610643564356437</c:v>
                </c:pt>
                <c:pt idx="6">
                  <c:v>1.5150346534653467</c:v>
                </c:pt>
                <c:pt idx="7">
                  <c:v>1.9532326732673271</c:v>
                </c:pt>
                <c:pt idx="8">
                  <c:v>2.8119356435643561</c:v>
                </c:pt>
                <c:pt idx="9">
                  <c:v>3.6759999999999988</c:v>
                </c:pt>
                <c:pt idx="10">
                  <c:v>4.5288415841584149</c:v>
                </c:pt>
                <c:pt idx="11">
                  <c:v>5.3743019801980196</c:v>
                </c:pt>
                <c:pt idx="12">
                  <c:v>5.9548118811881183</c:v>
                </c:pt>
                <c:pt idx="13">
                  <c:v>6.0997673267326711</c:v>
                </c:pt>
                <c:pt idx="14">
                  <c:v>6.2436237623762363</c:v>
                </c:pt>
              </c:numCache>
            </c:numRef>
          </c:xVal>
          <c:yVal>
            <c:numRef>
              <c:f>'J (100 kDa) '!$L$3:$L$17</c:f>
              <c:numCache>
                <c:formatCode>0.00</c:formatCode>
                <c:ptCount val="15"/>
                <c:pt idx="0">
                  <c:v>2.1374109759716604</c:v>
                </c:pt>
                <c:pt idx="1">
                  <c:v>2.235008064734747</c:v>
                </c:pt>
                <c:pt idx="2">
                  <c:v>2.3299554531895539</c:v>
                </c:pt>
                <c:pt idx="3">
                  <c:v>2.4234837421816322</c:v>
                </c:pt>
                <c:pt idx="4">
                  <c:v>2.4756244984960589</c:v>
                </c:pt>
                <c:pt idx="5">
                  <c:v>2.5668676847696617</c:v>
                </c:pt>
                <c:pt idx="6">
                  <c:v>2.6965836739435369</c:v>
                </c:pt>
                <c:pt idx="7">
                  <c:v>2.7888247470687357</c:v>
                </c:pt>
                <c:pt idx="8">
                  <c:v>2.9057690003280157</c:v>
                </c:pt>
                <c:pt idx="9">
                  <c:v>2.9636689967307648</c:v>
                </c:pt>
                <c:pt idx="10">
                  <c:v>3.0069629919520526</c:v>
                </c:pt>
                <c:pt idx="11">
                  <c:v>3.0407057341000612</c:v>
                </c:pt>
                <c:pt idx="12">
                  <c:v>3.0491999437740436</c:v>
                </c:pt>
                <c:pt idx="13">
                  <c:v>3.0511569307030504</c:v>
                </c:pt>
                <c:pt idx="14">
                  <c:v>3.0535604612909957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D65-4F72-8A42-FB787DB0A0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8327871"/>
        <c:axId val="1065096703"/>
      </c:scatterChart>
      <c:valAx>
        <c:axId val="1977059807"/>
        <c:scaling>
          <c:orientation val="minMax"/>
          <c:max val="6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DV</a:t>
                </a:r>
                <a:endParaRPr lang="en-US" sz="1200" baseline="-250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8090743012377396"/>
              <c:y val="0.914463250947437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1702382303"/>
        <c:crosses val="autoZero"/>
        <c:crossBetween val="midCat"/>
        <c:majorUnit val="1"/>
        <c:minorUnit val="0.5"/>
      </c:valAx>
      <c:valAx>
        <c:axId val="1702382303"/>
        <c:scaling>
          <c:orientation val="minMax"/>
          <c:max val="22"/>
          <c:min val="6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 sz="12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  (L</a:t>
                </a:r>
                <a:r>
                  <a:rPr lang="es-ES"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·</a:t>
                </a:r>
                <a:r>
                  <a:rPr lang="es-ES" sz="12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</a:t>
                </a:r>
                <a:r>
                  <a:rPr lang="es-ES" sz="1200" baseline="30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-1</a:t>
                </a:r>
                <a:r>
                  <a:rPr lang="es-ES" sz="12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·m</a:t>
                </a:r>
                <a:r>
                  <a:rPr lang="es-ES" sz="1200" baseline="30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-2</a:t>
                </a:r>
                <a:r>
                  <a:rPr lang="es-ES" sz="12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3170156032959472E-3"/>
              <c:y val="0.374488884922102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1977059807"/>
        <c:crosses val="autoZero"/>
        <c:crossBetween val="midCat"/>
        <c:majorUnit val="2"/>
        <c:minorUnit val="0.5"/>
      </c:valAx>
      <c:valAx>
        <c:axId val="1065096703"/>
        <c:scaling>
          <c:orientation val="minMax"/>
          <c:min val="2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r</a:t>
                </a:r>
                <a:r>
                  <a:rPr lang="en-US" sz="1000" b="0" i="0" u="none" strike="noStrike" kern="1200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f</a:t>
                </a: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 (10</a:t>
                </a:r>
                <a:r>
                  <a:rPr lang="en-US" sz="1000" b="0" i="0" u="none" strike="noStrike" kern="1200" baseline="30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13</a:t>
                </a: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 m</a:t>
                </a:r>
                <a:r>
                  <a:rPr lang="en-US" sz="1000" b="0" i="0" u="none" strike="noStrike" kern="1200" baseline="30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-1</a:t>
                </a: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)</a:t>
                </a:r>
                <a:endParaRPr lang="es-ES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58327871"/>
        <c:crosses val="max"/>
        <c:crossBetween val="midCat"/>
      </c:valAx>
      <c:valAx>
        <c:axId val="1058327871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065096703"/>
        <c:crosses val="autoZero"/>
        <c:crossBetween val="midCat"/>
      </c:valAx>
      <c:spPr>
        <a:noFill/>
        <a:ln w="12700">
          <a:solidFill>
            <a:sysClr val="windowText" lastClr="000000"/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6060896236061928"/>
          <c:y val="2.5389137217003515E-2"/>
          <c:w val="0.80818161722425219"/>
          <c:h val="0.8295341549327192"/>
        </c:manualLayout>
      </c:layout>
      <c:scatterChart>
        <c:scatterStyle val="lineMarker"/>
        <c:varyColors val="0"/>
        <c:ser>
          <c:idx val="9"/>
          <c:order val="0"/>
          <c:tx>
            <c:v>MS (50 kDa)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ysClr val="window" lastClr="FFFFFF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'R vs DV (50 kDa)'!$D$2:$M$2</c:f>
              <c:numCache>
                <c:formatCode>0.00</c:formatCode>
                <c:ptCount val="10"/>
                <c:pt idx="0">
                  <c:v>0.17999999999999997</c:v>
                </c:pt>
                <c:pt idx="1">
                  <c:v>0.84204999999999974</c:v>
                </c:pt>
                <c:pt idx="2">
                  <c:v>1.38605</c:v>
                </c:pt>
                <c:pt idx="3">
                  <c:v>1.85687</c:v>
                </c:pt>
                <c:pt idx="4">
                  <c:v>2.3247600000000004</c:v>
                </c:pt>
                <c:pt idx="5">
                  <c:v>2.7862500000000012</c:v>
                </c:pt>
                <c:pt idx="6">
                  <c:v>3.2390699999999999</c:v>
                </c:pt>
                <c:pt idx="7">
                  <c:v>3.6997200000000001</c:v>
                </c:pt>
                <c:pt idx="8">
                  <c:v>4.1817899999999995</c:v>
                </c:pt>
                <c:pt idx="9">
                  <c:v>6.1705200000000007</c:v>
                </c:pt>
              </c:numCache>
            </c:numRef>
          </c:xVal>
          <c:yVal>
            <c:numRef>
              <c:f>'R vs DV (50 kDa)'!$D$26:$M$26</c:f>
              <c:numCache>
                <c:formatCode>0.000</c:formatCode>
                <c:ptCount val="10"/>
                <c:pt idx="0">
                  <c:v>0.99177592804140025</c:v>
                </c:pt>
                <c:pt idx="1">
                  <c:v>0.58056789610005199</c:v>
                </c:pt>
                <c:pt idx="2">
                  <c:v>0.34879800956015417</c:v>
                </c:pt>
                <c:pt idx="3">
                  <c:v>0.25265335356162433</c:v>
                </c:pt>
                <c:pt idx="4">
                  <c:v>0.16974521893807074</c:v>
                </c:pt>
                <c:pt idx="5">
                  <c:v>0.13077421554990412</c:v>
                </c:pt>
                <c:pt idx="6">
                  <c:v>8.9378586784917002E-2</c:v>
                </c:pt>
                <c:pt idx="7">
                  <c:v>6.0127958197377519E-2</c:v>
                </c:pt>
                <c:pt idx="8">
                  <c:v>4.9401487307423969E-2</c:v>
                </c:pt>
                <c:pt idx="9">
                  <c:v>3.0707840049592823E-2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E4-4C10-B195-6263E003E47F}"/>
            </c:ext>
          </c:extLst>
        </c:ser>
        <c:ser>
          <c:idx val="2"/>
          <c:order val="1"/>
          <c:tx>
            <c:v>SDP (50 kDa)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ysClr val="windowText" lastClr="000000">
                  <a:alpha val="50000"/>
                </a:sysClr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'R vs DV (50 kDa)'!$D$2:$M$2</c:f>
              <c:numCache>
                <c:formatCode>0.00</c:formatCode>
                <c:ptCount val="10"/>
                <c:pt idx="0">
                  <c:v>0.17999999999999997</c:v>
                </c:pt>
                <c:pt idx="1">
                  <c:v>0.84204999999999974</c:v>
                </c:pt>
                <c:pt idx="2">
                  <c:v>1.38605</c:v>
                </c:pt>
                <c:pt idx="3">
                  <c:v>1.85687</c:v>
                </c:pt>
                <c:pt idx="4">
                  <c:v>2.3247600000000004</c:v>
                </c:pt>
                <c:pt idx="5">
                  <c:v>2.7862500000000012</c:v>
                </c:pt>
                <c:pt idx="6">
                  <c:v>3.2390699999999999</c:v>
                </c:pt>
                <c:pt idx="7">
                  <c:v>3.6997200000000001</c:v>
                </c:pt>
                <c:pt idx="8">
                  <c:v>4.1817899999999995</c:v>
                </c:pt>
                <c:pt idx="9">
                  <c:v>6.1705200000000007</c:v>
                </c:pt>
              </c:numCache>
            </c:numRef>
          </c:xVal>
          <c:yVal>
            <c:numRef>
              <c:f>'R vs DV (50 kDa)'!$D$46:$M$46</c:f>
              <c:numCache>
                <c:formatCode>0.00</c:formatCode>
                <c:ptCount val="10"/>
                <c:pt idx="0">
                  <c:v>0.96805664428041016</c:v>
                </c:pt>
                <c:pt idx="1">
                  <c:v>0.5698466749979737</c:v>
                </c:pt>
                <c:pt idx="2">
                  <c:v>0.34828144532092248</c:v>
                </c:pt>
                <c:pt idx="3">
                  <c:v>0.2439083669584497</c:v>
                </c:pt>
                <c:pt idx="4">
                  <c:v>0.15272006486849143</c:v>
                </c:pt>
                <c:pt idx="5">
                  <c:v>0.11796676480402457</c:v>
                </c:pt>
                <c:pt idx="6">
                  <c:v>8.3519573267863884E-2</c:v>
                </c:pt>
                <c:pt idx="7">
                  <c:v>5.4039924227468138E-2</c:v>
                </c:pt>
                <c:pt idx="8">
                  <c:v>4.4899452706583097E-2</c:v>
                </c:pt>
                <c:pt idx="9">
                  <c:v>3.8232107181274379E-2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E4-4C10-B195-6263E003E47F}"/>
            </c:ext>
          </c:extLst>
        </c:ser>
        <c:ser>
          <c:idx val="0"/>
          <c:order val="2"/>
          <c:tx>
            <c:v>OA (50 kDa)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ysClr val="window" lastClr="FFFFFF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'R vs DV (50 kDa)'!$D$2:$M$2</c:f>
              <c:numCache>
                <c:formatCode>0.00</c:formatCode>
                <c:ptCount val="10"/>
                <c:pt idx="0">
                  <c:v>0.17999999999999997</c:v>
                </c:pt>
                <c:pt idx="1">
                  <c:v>0.84204999999999974</c:v>
                </c:pt>
                <c:pt idx="2">
                  <c:v>1.38605</c:v>
                </c:pt>
                <c:pt idx="3">
                  <c:v>1.85687</c:v>
                </c:pt>
                <c:pt idx="4">
                  <c:v>2.3247600000000004</c:v>
                </c:pt>
                <c:pt idx="5">
                  <c:v>2.7862500000000012</c:v>
                </c:pt>
                <c:pt idx="6">
                  <c:v>3.2390699999999999</c:v>
                </c:pt>
                <c:pt idx="7">
                  <c:v>3.6997200000000001</c:v>
                </c:pt>
                <c:pt idx="8">
                  <c:v>4.1817899999999995</c:v>
                </c:pt>
                <c:pt idx="9">
                  <c:v>6.1705200000000007</c:v>
                </c:pt>
              </c:numCache>
            </c:numRef>
          </c:xVal>
          <c:yVal>
            <c:numRef>
              <c:f>'R vs DV (50 kDa)'!$D$38:$M$38</c:f>
              <c:numCache>
                <c:formatCode>0.000</c:formatCode>
                <c:ptCount val="10"/>
                <c:pt idx="0">
                  <c:v>0.98249362240629334</c:v>
                </c:pt>
                <c:pt idx="1">
                  <c:v>0.62483509174413154</c:v>
                </c:pt>
                <c:pt idx="2">
                  <c:v>0.4171832517309928</c:v>
                </c:pt>
                <c:pt idx="3">
                  <c:v>0.27624771498222489</c:v>
                </c:pt>
                <c:pt idx="4">
                  <c:v>0.20787442344973059</c:v>
                </c:pt>
                <c:pt idx="5">
                  <c:v>0.15526176269427563</c:v>
                </c:pt>
                <c:pt idx="6">
                  <c:v>0.10619207541793677</c:v>
                </c:pt>
                <c:pt idx="7">
                  <c:v>7.7977643863604368E-2</c:v>
                </c:pt>
                <c:pt idx="8">
                  <c:v>6.8218503111478923E-2</c:v>
                </c:pt>
                <c:pt idx="9">
                  <c:v>4.584776133439724E-2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AE4-4C10-B195-6263E003E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237632"/>
        <c:axId val="225297152"/>
      </c:scatterChart>
      <c:valAx>
        <c:axId val="225237632"/>
        <c:scaling>
          <c:orientation val="minMax"/>
          <c:max val="7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 sz="1200"/>
                  <a:t>DV</a:t>
                </a:r>
                <a:endParaRPr lang="es-ES" sz="1200" baseline="-25000"/>
              </a:p>
            </c:rich>
          </c:tx>
          <c:layout>
            <c:manualLayout>
              <c:xMode val="edge"/>
              <c:yMode val="edge"/>
              <c:x val="0.48601822222222224"/>
              <c:y val="0.933594871794871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225297152"/>
        <c:crosses val="autoZero"/>
        <c:crossBetween val="midCat"/>
        <c:majorUnit val="1"/>
      </c:valAx>
      <c:valAx>
        <c:axId val="225297152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 sz="1200"/>
                  <a:t>C</a:t>
                </a:r>
                <a:r>
                  <a:rPr lang="es-ES" sz="1200" baseline="-25000"/>
                  <a:t>i(p)</a:t>
                </a:r>
                <a:r>
                  <a:rPr lang="es-ES" sz="1200"/>
                  <a:t>/C</a:t>
                </a:r>
                <a:r>
                  <a:rPr lang="es-ES" sz="1200" baseline="-25000"/>
                  <a:t>i(F)</a:t>
                </a:r>
              </a:p>
            </c:rich>
          </c:tx>
          <c:layout>
            <c:manualLayout>
              <c:xMode val="edge"/>
              <c:yMode val="edge"/>
              <c:x val="2.961477582357392E-3"/>
              <c:y val="0.34926755412060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225237632"/>
        <c:crosses val="autoZero"/>
        <c:crossBetween val="midCat"/>
        <c:majorUnit val="0.2"/>
      </c:valAx>
      <c:spPr>
        <a:noFill/>
        <a:ln w="12700"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53656278926257328"/>
          <c:y val="9.2277785070193075E-2"/>
          <c:w val="0.33235818158617331"/>
          <c:h val="0.22754050264264913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979722567076523"/>
          <c:y val="7.1930326890956811E-2"/>
          <c:w val="0.71052759873698279"/>
          <c:h val="0.78119007554844233"/>
        </c:manualLayout>
      </c:layout>
      <c:scatterChart>
        <c:scatterStyle val="lineMarker"/>
        <c:varyColors val="0"/>
        <c:ser>
          <c:idx val="5"/>
          <c:order val="1"/>
          <c:tx>
            <c:v>POS (50 kDa)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ysClr val="window" lastClr="FFFFFF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'R vs DV (50 kDa)'!$D$2:$M$2</c:f>
              <c:numCache>
                <c:formatCode>0.00</c:formatCode>
                <c:ptCount val="10"/>
                <c:pt idx="0">
                  <c:v>0.17999999999999997</c:v>
                </c:pt>
                <c:pt idx="1">
                  <c:v>0.84204999999999974</c:v>
                </c:pt>
                <c:pt idx="2">
                  <c:v>1.38605</c:v>
                </c:pt>
                <c:pt idx="3">
                  <c:v>1.85687</c:v>
                </c:pt>
                <c:pt idx="4">
                  <c:v>2.3247600000000004</c:v>
                </c:pt>
                <c:pt idx="5">
                  <c:v>2.7862500000000012</c:v>
                </c:pt>
                <c:pt idx="6">
                  <c:v>3.2390699999999999</c:v>
                </c:pt>
                <c:pt idx="7">
                  <c:v>3.6997200000000001</c:v>
                </c:pt>
                <c:pt idx="8">
                  <c:v>4.1817899999999995</c:v>
                </c:pt>
                <c:pt idx="9">
                  <c:v>6.1705200000000007</c:v>
                </c:pt>
              </c:numCache>
            </c:numRef>
          </c:xVal>
          <c:yVal>
            <c:numRef>
              <c:f>'R vs DV (50 kDa)'!$D$10:$M$10</c:f>
              <c:numCache>
                <c:formatCode>0.000</c:formatCode>
                <c:ptCount val="10"/>
                <c:pt idx="0">
                  <c:v>53.864234449156221</c:v>
                </c:pt>
                <c:pt idx="1">
                  <c:v>73.491403989296415</c:v>
                </c:pt>
                <c:pt idx="2">
                  <c:v>81.302290030205299</c:v>
                </c:pt>
                <c:pt idx="3">
                  <c:v>87.094232139762795</c:v>
                </c:pt>
                <c:pt idx="4">
                  <c:v>89.413389942843594</c:v>
                </c:pt>
                <c:pt idx="5">
                  <c:v>92.274440960835875</c:v>
                </c:pt>
                <c:pt idx="6">
                  <c:v>94.662638051814625</c:v>
                </c:pt>
                <c:pt idx="7">
                  <c:v>94.774670212187075</c:v>
                </c:pt>
                <c:pt idx="8">
                  <c:v>96.432664737197967</c:v>
                </c:pt>
                <c:pt idx="9">
                  <c:v>97.756325065278077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8C-4737-939A-1BAAE37A5B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237632"/>
        <c:axId val="225297152"/>
      </c:scatterChart>
      <c:scatterChart>
        <c:scatterStyle val="lineMarker"/>
        <c:varyColors val="0"/>
        <c:ser>
          <c:idx val="0"/>
          <c:order val="0"/>
          <c:tx>
            <c:v>GA (50 kDa)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ysClr val="window" lastClr="FFFFFF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'R vs DV (50 kDa)'!$D$2:$M$2</c:f>
              <c:numCache>
                <c:formatCode>0.00</c:formatCode>
                <c:ptCount val="10"/>
                <c:pt idx="0">
                  <c:v>0.17999999999999997</c:v>
                </c:pt>
                <c:pt idx="1">
                  <c:v>0.84204999999999974</c:v>
                </c:pt>
                <c:pt idx="2">
                  <c:v>1.38605</c:v>
                </c:pt>
                <c:pt idx="3">
                  <c:v>1.85687</c:v>
                </c:pt>
                <c:pt idx="4">
                  <c:v>2.3247600000000004</c:v>
                </c:pt>
                <c:pt idx="5">
                  <c:v>2.7862500000000012</c:v>
                </c:pt>
                <c:pt idx="6">
                  <c:v>3.2390699999999999</c:v>
                </c:pt>
                <c:pt idx="7">
                  <c:v>3.6997200000000001</c:v>
                </c:pt>
                <c:pt idx="8">
                  <c:v>4.1817899999999995</c:v>
                </c:pt>
                <c:pt idx="9">
                  <c:v>6.1705200000000007</c:v>
                </c:pt>
              </c:numCache>
            </c:numRef>
          </c:xVal>
          <c:yVal>
            <c:numRef>
              <c:f>'R vs DV (50 kDa)'!$D$14:$M$14</c:f>
              <c:numCache>
                <c:formatCode>0.000</c:formatCode>
                <c:ptCount val="10"/>
                <c:pt idx="0">
                  <c:v>0.94054676850312191</c:v>
                </c:pt>
                <c:pt idx="1">
                  <c:v>0.52971820745358567</c:v>
                </c:pt>
                <c:pt idx="2">
                  <c:v>0.37739219264452667</c:v>
                </c:pt>
                <c:pt idx="3">
                  <c:v>0.24822384200100864</c:v>
                </c:pt>
                <c:pt idx="4">
                  <c:v>0.16759431147382003</c:v>
                </c:pt>
                <c:pt idx="5">
                  <c:v>0.11609686281930015</c:v>
                </c:pt>
                <c:pt idx="6">
                  <c:v>7.4406445635689766E-2</c:v>
                </c:pt>
                <c:pt idx="7">
                  <c:v>6.2474288237988077E-2</c:v>
                </c:pt>
                <c:pt idx="8">
                  <c:v>4.9350238953363601E-2</c:v>
                </c:pt>
                <c:pt idx="9">
                  <c:v>2.9616450842877094E-2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8C-4737-939A-1BAAE37A5B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230480"/>
        <c:axId val="248259744"/>
      </c:scatterChart>
      <c:valAx>
        <c:axId val="225237632"/>
        <c:scaling>
          <c:orientation val="minMax"/>
          <c:max val="7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 sz="1200">
                    <a:solidFill>
                      <a:schemeClr val="tx1"/>
                    </a:solidFill>
                  </a:rPr>
                  <a:t>DV</a:t>
                </a:r>
                <a:endParaRPr lang="es-ES" sz="1200" baseline="-250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44305680075852549"/>
              <c:y val="0.921274871673807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225297152"/>
        <c:crosses val="autoZero"/>
        <c:crossBetween val="midCat"/>
        <c:majorUnit val="1"/>
      </c:valAx>
      <c:valAx>
        <c:axId val="225297152"/>
        <c:scaling>
          <c:orientation val="minMax"/>
          <c:max val="100"/>
          <c:min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 sz="1200">
                    <a:solidFill>
                      <a:schemeClr val="tx1"/>
                    </a:solidFill>
                  </a:rPr>
                  <a:t>R</a:t>
                </a:r>
                <a:r>
                  <a:rPr lang="es-ES" sz="1200" baseline="-25000">
                    <a:solidFill>
                      <a:schemeClr val="tx1"/>
                    </a:solidFill>
                  </a:rPr>
                  <a:t>POS</a:t>
                </a:r>
                <a:r>
                  <a:rPr lang="es-ES" sz="1200">
                    <a:solidFill>
                      <a:schemeClr val="tx1"/>
                    </a:solidFill>
                  </a:rPr>
                  <a:t> (%)</a:t>
                </a:r>
                <a:endParaRPr lang="es-ES" sz="1200" baseline="-250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8508350602939416E-3"/>
              <c:y val="0.36952264889507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225237632"/>
        <c:crosses val="autoZero"/>
        <c:crossBetween val="midCat"/>
      </c:valAx>
      <c:valAx>
        <c:axId val="248259744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1-R</a:t>
                </a:r>
                <a:r>
                  <a:rPr lang="es-ES" baseline="-25000">
                    <a:solidFill>
                      <a:schemeClr val="tx1"/>
                    </a:solidFill>
                  </a:rPr>
                  <a:t>GA</a:t>
                </a:r>
              </a:p>
            </c:rich>
          </c:tx>
          <c:layout>
            <c:manualLayout>
              <c:xMode val="edge"/>
              <c:yMode val="edge"/>
              <c:x val="0.93769630310771146"/>
              <c:y val="0.366747804338047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248230480"/>
        <c:crosses val="max"/>
        <c:crossBetween val="midCat"/>
      </c:valAx>
      <c:valAx>
        <c:axId val="248230480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248259744"/>
        <c:crosses val="autoZero"/>
        <c:crossBetween val="midCat"/>
      </c:valAx>
      <c:spPr>
        <a:noFill/>
        <a:ln w="12700"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59314138648435688"/>
          <c:y val="0.21514056732213285"/>
          <c:w val="0.18770973282767298"/>
          <c:h val="0.10844021502659761"/>
        </c:manualLayout>
      </c:layout>
      <c:overlay val="0"/>
      <c:spPr>
        <a:noFill/>
        <a:ln w="12700"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6163825842589499"/>
          <c:y val="2.5389079886140996E-2"/>
          <c:w val="0.80818161722425219"/>
          <c:h val="0.8295341549327192"/>
        </c:manualLayout>
      </c:layout>
      <c:scatterChart>
        <c:scatterStyle val="lineMarker"/>
        <c:varyColors val="0"/>
        <c:ser>
          <c:idx val="9"/>
          <c:order val="0"/>
          <c:tx>
            <c:v>MS (100 kDa)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ysClr val="window" lastClr="FFFFFF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'R vs DV (100 kDa) '!$D$2:$M$2</c:f>
              <c:numCache>
                <c:formatCode>0.00</c:formatCode>
                <c:ptCount val="10"/>
                <c:pt idx="0">
                  <c:v>0.10909900990099008</c:v>
                </c:pt>
                <c:pt idx="1">
                  <c:v>0.30465346534653476</c:v>
                </c:pt>
                <c:pt idx="2">
                  <c:v>0.48706435643564355</c:v>
                </c:pt>
                <c:pt idx="3">
                  <c:v>0.6555742574257426</c:v>
                </c:pt>
                <c:pt idx="4">
                  <c:v>0.82512871287128686</c:v>
                </c:pt>
                <c:pt idx="5">
                  <c:v>1.0610643564356435</c:v>
                </c:pt>
                <c:pt idx="6">
                  <c:v>1.5150346534653467</c:v>
                </c:pt>
                <c:pt idx="7">
                  <c:v>1.9532326732673269</c:v>
                </c:pt>
                <c:pt idx="8">
                  <c:v>2.8119356435643561</c:v>
                </c:pt>
                <c:pt idx="9">
                  <c:v>3.6759999999999988</c:v>
                </c:pt>
              </c:numCache>
            </c:numRef>
          </c:xVal>
          <c:yVal>
            <c:numRef>
              <c:f>'R vs DV (100 kDa) '!$D$26:$M$26</c:f>
              <c:numCache>
                <c:formatCode>0.000</c:formatCode>
                <c:ptCount val="10"/>
                <c:pt idx="0">
                  <c:v>1.0599414677208925</c:v>
                </c:pt>
                <c:pt idx="1">
                  <c:v>0.78289790853574515</c:v>
                </c:pt>
                <c:pt idx="2">
                  <c:v>0.66084300179501354</c:v>
                </c:pt>
                <c:pt idx="3">
                  <c:v>0.53734553070102486</c:v>
                </c:pt>
                <c:pt idx="4">
                  <c:v>0.43961593064174781</c:v>
                </c:pt>
                <c:pt idx="5">
                  <c:v>0.35570394613424339</c:v>
                </c:pt>
                <c:pt idx="6">
                  <c:v>0.20687465835195412</c:v>
                </c:pt>
                <c:pt idx="7">
                  <c:v>0.15404296281702587</c:v>
                </c:pt>
                <c:pt idx="8">
                  <c:v>5.9386649465120518E-2</c:v>
                </c:pt>
                <c:pt idx="9">
                  <c:v>2.8708599848302659E-2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A6-45EF-BF83-EF7F6882B669}"/>
            </c:ext>
          </c:extLst>
        </c:ser>
        <c:ser>
          <c:idx val="2"/>
          <c:order val="1"/>
          <c:tx>
            <c:v>SDP (100 kDa)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ysClr val="windowText" lastClr="000000">
                  <a:alpha val="50000"/>
                </a:sysClr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'R vs DV (100 kDa) '!$D$2:$P$2</c:f>
              <c:numCache>
                <c:formatCode>0.00</c:formatCode>
                <c:ptCount val="13"/>
                <c:pt idx="0">
                  <c:v>0.10909900990099008</c:v>
                </c:pt>
                <c:pt idx="1">
                  <c:v>0.30465346534653476</c:v>
                </c:pt>
                <c:pt idx="2">
                  <c:v>0.48706435643564355</c:v>
                </c:pt>
                <c:pt idx="3">
                  <c:v>0.6555742574257426</c:v>
                </c:pt>
                <c:pt idx="4">
                  <c:v>0.82512871287128686</c:v>
                </c:pt>
                <c:pt idx="5">
                  <c:v>1.0610643564356435</c:v>
                </c:pt>
                <c:pt idx="6">
                  <c:v>1.5150346534653467</c:v>
                </c:pt>
                <c:pt idx="7">
                  <c:v>1.9532326732673269</c:v>
                </c:pt>
                <c:pt idx="8">
                  <c:v>2.8119356435643561</c:v>
                </c:pt>
                <c:pt idx="9">
                  <c:v>3.6759999999999988</c:v>
                </c:pt>
                <c:pt idx="10">
                  <c:v>4.528841584158414</c:v>
                </c:pt>
                <c:pt idx="11">
                  <c:v>5.3743019801980179</c:v>
                </c:pt>
                <c:pt idx="12">
                  <c:v>6.2436237623762363</c:v>
                </c:pt>
              </c:numCache>
            </c:numRef>
          </c:xVal>
          <c:yVal>
            <c:numRef>
              <c:f>'R vs DV (100 kDa) '!$D$46:$P$46</c:f>
              <c:numCache>
                <c:formatCode>0.000</c:formatCode>
                <c:ptCount val="13"/>
                <c:pt idx="0">
                  <c:v>1.0040566304695535</c:v>
                </c:pt>
                <c:pt idx="1">
                  <c:v>0.75897621473876342</c:v>
                </c:pt>
                <c:pt idx="2">
                  <c:v>0.61100150663758968</c:v>
                </c:pt>
                <c:pt idx="3">
                  <c:v>0.50452575300521163</c:v>
                </c:pt>
                <c:pt idx="4">
                  <c:v>0.42037071822968403</c:v>
                </c:pt>
                <c:pt idx="5">
                  <c:v>0.33061967362370476</c:v>
                </c:pt>
                <c:pt idx="6">
                  <c:v>0.19839724339053022</c:v>
                </c:pt>
                <c:pt idx="7">
                  <c:v>0.12818768123229499</c:v>
                </c:pt>
                <c:pt idx="8">
                  <c:v>5.5920570103756541E-2</c:v>
                </c:pt>
                <c:pt idx="9">
                  <c:v>2.7063000962675089E-2</c:v>
                </c:pt>
                <c:pt idx="10">
                  <c:v>1.609932977922952E-2</c:v>
                </c:pt>
                <c:pt idx="11">
                  <c:v>6.5631025598906056E-3</c:v>
                </c:pt>
                <c:pt idx="12">
                  <c:v>1.8064989196896577E-3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A6-45EF-BF83-EF7F6882B669}"/>
            </c:ext>
          </c:extLst>
        </c:ser>
        <c:ser>
          <c:idx val="0"/>
          <c:order val="2"/>
          <c:tx>
            <c:v>OA (100 kDa)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ysClr val="window" lastClr="FFFFFF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'R vs DV (100 kDa) '!$D$2:$P$2</c:f>
              <c:numCache>
                <c:formatCode>0.00</c:formatCode>
                <c:ptCount val="13"/>
                <c:pt idx="0">
                  <c:v>0.10909900990099008</c:v>
                </c:pt>
                <c:pt idx="1">
                  <c:v>0.30465346534653476</c:v>
                </c:pt>
                <c:pt idx="2">
                  <c:v>0.48706435643564355</c:v>
                </c:pt>
                <c:pt idx="3">
                  <c:v>0.6555742574257426</c:v>
                </c:pt>
                <c:pt idx="4">
                  <c:v>0.82512871287128686</c:v>
                </c:pt>
                <c:pt idx="5">
                  <c:v>1.0610643564356435</c:v>
                </c:pt>
                <c:pt idx="6">
                  <c:v>1.5150346534653467</c:v>
                </c:pt>
                <c:pt idx="7">
                  <c:v>1.9532326732673269</c:v>
                </c:pt>
                <c:pt idx="8">
                  <c:v>2.8119356435643561</c:v>
                </c:pt>
                <c:pt idx="9">
                  <c:v>3.6759999999999988</c:v>
                </c:pt>
                <c:pt idx="10">
                  <c:v>4.528841584158414</c:v>
                </c:pt>
                <c:pt idx="11">
                  <c:v>5.3743019801980179</c:v>
                </c:pt>
                <c:pt idx="12">
                  <c:v>6.2436237623762363</c:v>
                </c:pt>
              </c:numCache>
            </c:numRef>
          </c:xVal>
          <c:yVal>
            <c:numRef>
              <c:f>'R vs DV (100 kDa) '!$D$38:$P$38</c:f>
              <c:numCache>
                <c:formatCode>0.000</c:formatCode>
                <c:ptCount val="13"/>
                <c:pt idx="0">
                  <c:v>0.88376367907345033</c:v>
                </c:pt>
                <c:pt idx="1">
                  <c:v>0.73057686325829263</c:v>
                </c:pt>
                <c:pt idx="2">
                  <c:v>0.64766271901423822</c:v>
                </c:pt>
                <c:pt idx="3">
                  <c:v>0.46346633694649203</c:v>
                </c:pt>
                <c:pt idx="4">
                  <c:v>0.42321567546364686</c:v>
                </c:pt>
                <c:pt idx="5">
                  <c:v>0.33711304388384689</c:v>
                </c:pt>
                <c:pt idx="6">
                  <c:v>0.23358382030683511</c:v>
                </c:pt>
                <c:pt idx="7">
                  <c:v>0.13174418777927246</c:v>
                </c:pt>
                <c:pt idx="8">
                  <c:v>6.9684401666681925E-2</c:v>
                </c:pt>
                <c:pt idx="9">
                  <c:v>3.7943846155642502E-2</c:v>
                </c:pt>
                <c:pt idx="10">
                  <c:v>2.2539089320659133E-2</c:v>
                </c:pt>
                <c:pt idx="11">
                  <c:v>8.3307931299997414E-3</c:v>
                </c:pt>
                <c:pt idx="12">
                  <c:v>3.1354662672040219E-3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0A6-45EF-BF83-EF7F6882B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237632"/>
        <c:axId val="225297152"/>
      </c:scatterChart>
      <c:valAx>
        <c:axId val="225237632"/>
        <c:scaling>
          <c:orientation val="minMax"/>
          <c:max val="7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 sz="1200"/>
                  <a:t>DV</a:t>
                </a:r>
                <a:endParaRPr lang="es-ES" sz="1200" baseline="-25000"/>
              </a:p>
            </c:rich>
          </c:tx>
          <c:layout>
            <c:manualLayout>
              <c:xMode val="edge"/>
              <c:yMode val="edge"/>
              <c:x val="0.48601822222222224"/>
              <c:y val="0.933594871794871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225297152"/>
        <c:crosses val="autoZero"/>
        <c:crossBetween val="midCat"/>
        <c:majorUnit val="1"/>
      </c:valAx>
      <c:valAx>
        <c:axId val="225297152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 sz="1200"/>
                  <a:t>C</a:t>
                </a:r>
                <a:r>
                  <a:rPr lang="es-ES" sz="1200" baseline="-25000"/>
                  <a:t>i(p)</a:t>
                </a:r>
                <a:r>
                  <a:rPr lang="es-ES" sz="1200"/>
                  <a:t>/C</a:t>
                </a:r>
                <a:r>
                  <a:rPr lang="es-ES" sz="1200" baseline="-25000"/>
                  <a:t>i(F)</a:t>
                </a:r>
              </a:p>
            </c:rich>
          </c:tx>
          <c:layout>
            <c:manualLayout>
              <c:xMode val="edge"/>
              <c:yMode val="edge"/>
              <c:x val="2.9615064312699209E-3"/>
              <c:y val="0.410020275233907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225237632"/>
        <c:crosses val="autoZero"/>
        <c:crossBetween val="midCat"/>
        <c:majorUnit val="0.2"/>
      </c:valAx>
      <c:spPr>
        <a:noFill/>
        <a:ln w="12700"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53656278926257328"/>
          <c:y val="9.2277785070193075E-2"/>
          <c:w val="0.33235818158617331"/>
          <c:h val="0.22754050264264913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2755093757610195"/>
          <c:y val="5.4105082413609215E-2"/>
          <c:w val="0.57517836043690418"/>
          <c:h val="0.78119007554844233"/>
        </c:manualLayout>
      </c:layout>
      <c:scatterChart>
        <c:scatterStyle val="lineMarker"/>
        <c:varyColors val="0"/>
        <c:ser>
          <c:idx val="5"/>
          <c:order val="1"/>
          <c:tx>
            <c:v>POS (100 kDa)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ysClr val="window" lastClr="FFFFFF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'R vs DV (100 kDa) '!$D$2:$P$2</c:f>
              <c:numCache>
                <c:formatCode>0.00</c:formatCode>
                <c:ptCount val="13"/>
                <c:pt idx="0">
                  <c:v>0.10909900990099008</c:v>
                </c:pt>
                <c:pt idx="1">
                  <c:v>0.30465346534653476</c:v>
                </c:pt>
                <c:pt idx="2">
                  <c:v>0.48706435643564355</c:v>
                </c:pt>
                <c:pt idx="3">
                  <c:v>0.6555742574257426</c:v>
                </c:pt>
                <c:pt idx="4">
                  <c:v>0.82512871287128686</c:v>
                </c:pt>
                <c:pt idx="5">
                  <c:v>1.0610643564356435</c:v>
                </c:pt>
                <c:pt idx="6">
                  <c:v>1.5150346534653467</c:v>
                </c:pt>
                <c:pt idx="7">
                  <c:v>1.9532326732673269</c:v>
                </c:pt>
                <c:pt idx="8">
                  <c:v>2.8119356435643561</c:v>
                </c:pt>
                <c:pt idx="9">
                  <c:v>3.6759999999999988</c:v>
                </c:pt>
                <c:pt idx="10">
                  <c:v>4.528841584158414</c:v>
                </c:pt>
                <c:pt idx="11">
                  <c:v>5.3743019801980179</c:v>
                </c:pt>
                <c:pt idx="12">
                  <c:v>6.2436237623762363</c:v>
                </c:pt>
              </c:numCache>
            </c:numRef>
          </c:xVal>
          <c:yVal>
            <c:numRef>
              <c:f>'R vs DV (100 kDa) '!$D$10:$P$10</c:f>
              <c:numCache>
                <c:formatCode>0.000</c:formatCode>
                <c:ptCount val="13"/>
                <c:pt idx="0">
                  <c:v>53.210204906279479</c:v>
                </c:pt>
                <c:pt idx="1">
                  <c:v>57.491276442828742</c:v>
                </c:pt>
                <c:pt idx="2">
                  <c:v>61.426315405979913</c:v>
                </c:pt>
                <c:pt idx="3">
                  <c:v>67.202941769746815</c:v>
                </c:pt>
                <c:pt idx="4">
                  <c:v>71.556697803695187</c:v>
                </c:pt>
                <c:pt idx="5">
                  <c:v>78.005335533102269</c:v>
                </c:pt>
                <c:pt idx="6">
                  <c:v>83.536919854700059</c:v>
                </c:pt>
                <c:pt idx="7">
                  <c:v>87.565524047642398</c:v>
                </c:pt>
                <c:pt idx="8">
                  <c:v>91.999195839602891</c:v>
                </c:pt>
                <c:pt idx="9">
                  <c:v>95.254770602505417</c:v>
                </c:pt>
                <c:pt idx="10">
                  <c:v>96.713404716003637</c:v>
                </c:pt>
                <c:pt idx="11">
                  <c:v>97.523353989280608</c:v>
                </c:pt>
                <c:pt idx="12">
                  <c:v>97.941578814400003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A3-4BD7-B42D-0C40A3C51B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237632"/>
        <c:axId val="225297152"/>
      </c:scatterChart>
      <c:scatterChart>
        <c:scatterStyle val="lineMarker"/>
        <c:varyColors val="0"/>
        <c:ser>
          <c:idx val="0"/>
          <c:order val="0"/>
          <c:tx>
            <c:v>GA (100 kDa)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ysClr val="window" lastClr="FFFFFF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'R vs DV (100 kDa) '!$D$2:$P$2</c:f>
              <c:numCache>
                <c:formatCode>0.00</c:formatCode>
                <c:ptCount val="13"/>
                <c:pt idx="0">
                  <c:v>0.10909900990099008</c:v>
                </c:pt>
                <c:pt idx="1">
                  <c:v>0.30465346534653476</c:v>
                </c:pt>
                <c:pt idx="2">
                  <c:v>0.48706435643564355</c:v>
                </c:pt>
                <c:pt idx="3">
                  <c:v>0.6555742574257426</c:v>
                </c:pt>
                <c:pt idx="4">
                  <c:v>0.82512871287128686</c:v>
                </c:pt>
                <c:pt idx="5">
                  <c:v>1.0610643564356435</c:v>
                </c:pt>
                <c:pt idx="6">
                  <c:v>1.5150346534653467</c:v>
                </c:pt>
                <c:pt idx="7">
                  <c:v>1.9532326732673269</c:v>
                </c:pt>
                <c:pt idx="8">
                  <c:v>2.8119356435643561</c:v>
                </c:pt>
                <c:pt idx="9">
                  <c:v>3.6759999999999988</c:v>
                </c:pt>
                <c:pt idx="10">
                  <c:v>4.528841584158414</c:v>
                </c:pt>
                <c:pt idx="11">
                  <c:v>5.3743019801980179</c:v>
                </c:pt>
                <c:pt idx="12">
                  <c:v>6.2436237623762363</c:v>
                </c:pt>
              </c:numCache>
            </c:numRef>
          </c:xVal>
          <c:yVal>
            <c:numRef>
              <c:f>'R vs DV (100 kDa) '!$D$14:$P$14</c:f>
              <c:numCache>
                <c:formatCode>0.000</c:formatCode>
                <c:ptCount val="13"/>
                <c:pt idx="0">
                  <c:v>0.9510694568566842</c:v>
                </c:pt>
                <c:pt idx="1">
                  <c:v>0.74848610086294221</c:v>
                </c:pt>
                <c:pt idx="2">
                  <c:v>0.62674563260474714</c:v>
                </c:pt>
                <c:pt idx="3">
                  <c:v>0.54377050149226225</c:v>
                </c:pt>
                <c:pt idx="4">
                  <c:v>0.46031803686831557</c:v>
                </c:pt>
                <c:pt idx="5">
                  <c:v>0.35701367716791643</c:v>
                </c:pt>
                <c:pt idx="6">
                  <c:v>0.21628430685830455</c:v>
                </c:pt>
                <c:pt idx="7">
                  <c:v>0.13778142381172745</c:v>
                </c:pt>
                <c:pt idx="8">
                  <c:v>5.2065476479372312E-2</c:v>
                </c:pt>
                <c:pt idx="9">
                  <c:v>1.8460905074534944E-2</c:v>
                </c:pt>
                <c:pt idx="10">
                  <c:v>1.0134493898897336E-2</c:v>
                </c:pt>
                <c:pt idx="11">
                  <c:v>6.2216760176336573E-3</c:v>
                </c:pt>
                <c:pt idx="12">
                  <c:v>3.3223724689935134E-3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A3-4BD7-B42D-0C40A3C51B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230480"/>
        <c:axId val="248259744"/>
      </c:scatterChart>
      <c:valAx>
        <c:axId val="225237632"/>
        <c:scaling>
          <c:orientation val="minMax"/>
          <c:max val="7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 sz="1200">
                    <a:solidFill>
                      <a:schemeClr val="tx1"/>
                    </a:solidFill>
                  </a:rPr>
                  <a:t>DV</a:t>
                </a:r>
                <a:endParaRPr lang="es-ES" sz="1200" baseline="-250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44305680075852549"/>
              <c:y val="0.921274871673807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225297152"/>
        <c:crosses val="autoZero"/>
        <c:crossBetween val="midCat"/>
        <c:majorUnit val="1"/>
      </c:valAx>
      <c:valAx>
        <c:axId val="225297152"/>
        <c:scaling>
          <c:orientation val="minMax"/>
          <c:max val="100"/>
          <c:min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 sz="1200">
                    <a:solidFill>
                      <a:schemeClr val="tx1"/>
                    </a:solidFill>
                  </a:rPr>
                  <a:t>R</a:t>
                </a:r>
                <a:r>
                  <a:rPr lang="es-ES" sz="1200" baseline="-25000">
                    <a:solidFill>
                      <a:schemeClr val="tx1"/>
                    </a:solidFill>
                  </a:rPr>
                  <a:t>POS</a:t>
                </a:r>
                <a:r>
                  <a:rPr lang="es-ES" sz="1200">
                    <a:solidFill>
                      <a:schemeClr val="tx1"/>
                    </a:solidFill>
                  </a:rPr>
                  <a:t> (%)</a:t>
                </a:r>
                <a:endParaRPr lang="es-ES" sz="1200" baseline="-250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7.0965233017579066E-2"/>
              <c:y val="0.3659575841789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225237632"/>
        <c:crosses val="autoZero"/>
        <c:crossBetween val="midCat"/>
      </c:valAx>
      <c:valAx>
        <c:axId val="248259744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>
                    <a:solidFill>
                      <a:schemeClr val="tx1"/>
                    </a:solidFill>
                  </a:rPr>
                  <a:t>1-R</a:t>
                </a:r>
                <a:r>
                  <a:rPr lang="es-ES" baseline="-25000">
                    <a:solidFill>
                      <a:schemeClr val="tx1"/>
                    </a:solidFill>
                  </a:rPr>
                  <a:t>GA</a:t>
                </a:r>
              </a:p>
            </c:rich>
          </c:tx>
          <c:layout>
            <c:manualLayout>
              <c:xMode val="edge"/>
              <c:yMode val="edge"/>
              <c:x val="0.93769630310771146"/>
              <c:y val="0.366747804338047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248230480"/>
        <c:crosses val="max"/>
        <c:crossBetween val="midCat"/>
      </c:valAx>
      <c:valAx>
        <c:axId val="248230480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248259744"/>
        <c:crosses val="autoZero"/>
        <c:crossBetween val="midCat"/>
      </c:valAx>
      <c:spPr>
        <a:noFill/>
        <a:ln w="12700"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4721911595912896"/>
          <c:y val="0.19375024435428814"/>
          <c:w val="0.2827421302358803"/>
          <c:h val="0.22965236282895052"/>
        </c:manualLayout>
      </c:layout>
      <c:overlay val="0"/>
      <c:spPr>
        <a:noFill/>
        <a:ln w="12700"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73991079613881"/>
          <c:y val="4.1818278996096608E-2"/>
          <c:w val="0.8045611482913162"/>
          <c:h val="0.75501968503937011"/>
        </c:manualLayout>
      </c:layout>
      <c:barChart>
        <c:barDir val="col"/>
        <c:grouping val="clustered"/>
        <c:varyColors val="0"/>
        <c:ser>
          <c:idx val="2"/>
          <c:order val="0"/>
          <c:tx>
            <c:v>50 kDa</c:v>
          </c:tx>
          <c:spPr>
            <a:solidFill>
              <a:schemeClr val="bg1"/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'Fractionation (50kDa)'!$A$4:$A$14</c15:sqref>
                  </c15:fullRef>
                </c:ext>
              </c:extLst>
              <c:f>'Fractionation (50kDa)'!$A$4:$A$14</c:f>
              <c:strCache>
                <c:ptCount val="11"/>
                <c:pt idx="0">
                  <c:v>POS</c:v>
                </c:pt>
                <c:pt idx="1">
                  <c:v>gal</c:v>
                </c:pt>
                <c:pt idx="2">
                  <c:v>glu</c:v>
                </c:pt>
                <c:pt idx="3">
                  <c:v>xyl</c:v>
                </c:pt>
                <c:pt idx="4">
                  <c:v>ara</c:v>
                </c:pt>
                <c:pt idx="5">
                  <c:v>GA</c:v>
                </c:pt>
                <c:pt idx="6">
                  <c:v>FA</c:v>
                </c:pt>
                <c:pt idx="7">
                  <c:v>AcA</c:v>
                </c:pt>
                <c:pt idx="8">
                  <c:v>F</c:v>
                </c:pt>
                <c:pt idx="9">
                  <c:v>HMF</c:v>
                </c:pt>
                <c:pt idx="10">
                  <c:v>TPC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'Fractionation (50kDa)'!$F$4:$F$14</c15:sqref>
                  </c15:fullRef>
                </c:ext>
              </c:extLst>
              <c:f>'Fractionation (50kDa)'!$F$4:$F$14</c:f>
              <c:numCache>
                <c:formatCode>0.00</c:formatCode>
                <c:ptCount val="11"/>
                <c:pt idx="0">
                  <c:v>34.537849129458294</c:v>
                </c:pt>
                <c:pt idx="1">
                  <c:v>3.0937011648545933</c:v>
                </c:pt>
                <c:pt idx="2">
                  <c:v>1.4368279261399977</c:v>
                </c:pt>
                <c:pt idx="3">
                  <c:v>0.69200935849060841</c:v>
                </c:pt>
                <c:pt idx="4">
                  <c:v>0</c:v>
                </c:pt>
                <c:pt idx="5">
                  <c:v>0.29999999999999716</c:v>
                </c:pt>
                <c:pt idx="6">
                  <c:v>1.2710018140611794</c:v>
                </c:pt>
                <c:pt idx="7">
                  <c:v>0.5</c:v>
                </c:pt>
                <c:pt idx="8">
                  <c:v>1.1914654429521505</c:v>
                </c:pt>
                <c:pt idx="9">
                  <c:v>1.6088252982158338</c:v>
                </c:pt>
                <c:pt idx="10">
                  <c:v>0.3571428571428612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E-4D39-8A31-B9E633F3B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0"/>
        <c:overlap val="-61"/>
        <c:axId val="1785913968"/>
        <c:axId val="40095968"/>
        <c:extLst>
          <c:ext xmlns:c15="http://schemas.microsoft.com/office/drawing/2012/chart" uri="{02D57815-91ED-43cb-92C2-25804820EDAC}">
            <c15:filteredBarSeries>
              <c15:ser>
                <c:idx val="0"/>
                <c:order val="1"/>
                <c:tx>
                  <c:v>100 kDa</c:v>
                </c:tx>
                <c:spPr>
                  <a:solidFill>
                    <a:srgbClr val="CCECFF"/>
                  </a:solidFill>
                  <a:ln w="19050">
                    <a:solidFill>
                      <a:srgbClr val="0070C0"/>
                    </a:solidFill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'Fractionation (50kDa)'!$A$4:$A$14</c15:sqref>
                        </c15:fullRef>
                        <c15:formulaRef>
                          <c15:sqref>'Fractionation (50kDa)'!$A$4:$A$14</c15:sqref>
                        </c15:formulaRef>
                      </c:ext>
                    </c:extLst>
                    <c:strCache>
                      <c:ptCount val="11"/>
                      <c:pt idx="0">
                        <c:v>POS</c:v>
                      </c:pt>
                      <c:pt idx="1">
                        <c:v>gal</c:v>
                      </c:pt>
                      <c:pt idx="2">
                        <c:v>glu</c:v>
                      </c:pt>
                      <c:pt idx="3">
                        <c:v>xyl</c:v>
                      </c:pt>
                      <c:pt idx="4">
                        <c:v>ara</c:v>
                      </c:pt>
                      <c:pt idx="5">
                        <c:v>GA</c:v>
                      </c:pt>
                      <c:pt idx="6">
                        <c:v>FA</c:v>
                      </c:pt>
                      <c:pt idx="7">
                        <c:v>AcA</c:v>
                      </c:pt>
                      <c:pt idx="8">
                        <c:v>F</c:v>
                      </c:pt>
                      <c:pt idx="9">
                        <c:v>HMF</c:v>
                      </c:pt>
                      <c:pt idx="10">
                        <c:v>TPC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'Fractionation (50kDa)'!$L$4:$L$15</c15:sqref>
                        </c15:fullRef>
                        <c15:formulaRef>
                          <c15:sqref>'Fractionation (50kDa)'!$L$4:$L$14</c15:sqref>
                        </c15:formulaRef>
                      </c:ext>
                    </c:extLst>
                    <c:numCache>
                      <c:formatCode>0.00</c:formatCode>
                      <c:ptCount val="1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CBBE-4D39-8A31-B9E633F3BC2E}"/>
                  </c:ext>
                </c:extLst>
              </c15:ser>
            </c15:filteredBarSeries>
          </c:ext>
        </c:extLst>
      </c:barChart>
      <c:catAx>
        <c:axId val="17859139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/>
                  <a:t>SubWH compounds</a:t>
                </a:r>
              </a:p>
            </c:rich>
          </c:tx>
          <c:layout>
            <c:manualLayout>
              <c:xMode val="edge"/>
              <c:yMode val="edge"/>
              <c:x val="0.38296067712405191"/>
              <c:y val="0.885964912280701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40095968"/>
        <c:crosses val="autoZero"/>
        <c:auto val="1"/>
        <c:lblAlgn val="ctr"/>
        <c:lblOffset val="100"/>
        <c:noMultiLvlLbl val="0"/>
      </c:catAx>
      <c:valAx>
        <c:axId val="40095968"/>
        <c:scaling>
          <c:orientation val="minMax"/>
          <c:max val="3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/>
                  <a:t> RF</a:t>
                </a:r>
                <a:r>
                  <a:rPr lang="es-ES" baseline="-25000"/>
                  <a:t>i</a:t>
                </a:r>
                <a:r>
                  <a:rPr lang="es-ES"/>
                  <a:t> (wt.%) </a:t>
                </a:r>
              </a:p>
            </c:rich>
          </c:tx>
          <c:layout>
            <c:manualLayout>
              <c:xMode val="edge"/>
              <c:yMode val="edge"/>
              <c:x val="2.0824532665997667E-3"/>
              <c:y val="0.220991177710718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1785913968"/>
        <c:crosses val="autoZero"/>
        <c:crossBetween val="between"/>
        <c:majorUnit val="6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396517520234851"/>
          <c:y val="8.0434777075791594E-2"/>
          <c:w val="0.17990746919346945"/>
          <c:h val="0.15875424705183055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73991079613881"/>
          <c:y val="4.1818278996096608E-2"/>
          <c:w val="0.8045611482913162"/>
          <c:h val="0.755019685039370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/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'Fractionation (100 kDa)'!$A$4:$A$14</c:f>
              <c:strCache>
                <c:ptCount val="11"/>
                <c:pt idx="0">
                  <c:v>POS</c:v>
                </c:pt>
                <c:pt idx="1">
                  <c:v>gal</c:v>
                </c:pt>
                <c:pt idx="2">
                  <c:v>glu</c:v>
                </c:pt>
                <c:pt idx="3">
                  <c:v>xyl</c:v>
                </c:pt>
                <c:pt idx="4">
                  <c:v>ara</c:v>
                </c:pt>
                <c:pt idx="5">
                  <c:v>GA</c:v>
                </c:pt>
                <c:pt idx="6">
                  <c:v>FA</c:v>
                </c:pt>
                <c:pt idx="7">
                  <c:v>AcA</c:v>
                </c:pt>
                <c:pt idx="8">
                  <c:v>F</c:v>
                </c:pt>
                <c:pt idx="9">
                  <c:v>HMF</c:v>
                </c:pt>
                <c:pt idx="10">
                  <c:v>TPC</c:v>
                </c:pt>
              </c:strCache>
            </c:strRef>
          </c:cat>
          <c:val>
            <c:numRef>
              <c:f>'Fractionation (100 kDa)'!$F$4:$F$14</c:f>
              <c:numCache>
                <c:formatCode>0.00</c:formatCode>
                <c:ptCount val="11"/>
                <c:pt idx="0">
                  <c:v>33.694390715667268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1.4281870619186066E-3</c:v>
                </c:pt>
                <c:pt idx="6">
                  <c:v>0.303867560785406</c:v>
                </c:pt>
                <c:pt idx="7">
                  <c:v>0</c:v>
                </c:pt>
                <c:pt idx="8">
                  <c:v>2.8569787151411674E-2</c:v>
                </c:pt>
                <c:pt idx="9">
                  <c:v>-3.1791888987697803E-4</c:v>
                </c:pt>
                <c:pt idx="10">
                  <c:v>-3.5865075771397414E-3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E2-45D2-996D-EDC9392A11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0"/>
        <c:overlap val="-61"/>
        <c:axId val="1785913968"/>
        <c:axId val="40095968"/>
      </c:barChart>
      <c:catAx>
        <c:axId val="17859139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/>
                  <a:t>SubWH compounds</a:t>
                </a:r>
              </a:p>
            </c:rich>
          </c:tx>
          <c:layout>
            <c:manualLayout>
              <c:xMode val="edge"/>
              <c:yMode val="edge"/>
              <c:x val="0.38296067712405191"/>
              <c:y val="0.885964912280701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40095968"/>
        <c:crosses val="autoZero"/>
        <c:auto val="1"/>
        <c:lblAlgn val="ctr"/>
        <c:lblOffset val="100"/>
        <c:noMultiLvlLbl val="0"/>
      </c:catAx>
      <c:valAx>
        <c:axId val="40095968"/>
        <c:scaling>
          <c:orientation val="minMax"/>
          <c:max val="3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/>
                  <a:t> RF</a:t>
                </a:r>
                <a:r>
                  <a:rPr lang="es-ES" baseline="-25000"/>
                  <a:t>i</a:t>
                </a:r>
                <a:r>
                  <a:rPr lang="es-ES"/>
                  <a:t> (wt.%) </a:t>
                </a:r>
              </a:p>
            </c:rich>
          </c:tx>
          <c:layout>
            <c:manualLayout>
              <c:xMode val="edge"/>
              <c:yMode val="edge"/>
              <c:x val="2.0824532665997667E-3"/>
              <c:y val="0.220991177710718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1785913968"/>
        <c:crosses val="autoZero"/>
        <c:crossBetween val="between"/>
        <c:majorUnit val="6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396517520234851"/>
          <c:y val="8.0434777075791594E-2"/>
          <c:w val="0.17990746919346945"/>
          <c:h val="0.15875424705183055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10584</xdr:colOff>
      <xdr:row>1</xdr:row>
      <xdr:rowOff>42334</xdr:rowOff>
    </xdr:from>
    <xdr:to>
      <xdr:col>18</xdr:col>
      <xdr:colOff>190500</xdr:colOff>
      <xdr:row>19</xdr:row>
      <xdr:rowOff>47022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75D43F31-6834-4F54-A7B8-8FAAAB9DBC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0.22464</cdr:x>
      <cdr:y>0.04128</cdr:y>
    </cdr:from>
    <cdr:to>
      <cdr:x>0.37476</cdr:x>
      <cdr:y>0.15749</cdr:y>
    </cdr:to>
    <cdr:sp macro="" textlink="">
      <cdr:nvSpPr>
        <cdr:cNvPr id="2" name="CuadroTexto 3"/>
        <cdr:cNvSpPr txBox="1"/>
      </cdr:nvSpPr>
      <cdr:spPr>
        <a:xfrm xmlns:a="http://schemas.openxmlformats.org/drawingml/2006/main">
          <a:off x="757469" y="84380"/>
          <a:ext cx="506182" cy="237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200">
              <a:latin typeface="Times New Roman" panose="02020603050405020304" pitchFamily="18" charset="0"/>
              <a:cs typeface="Times New Roman" panose="02020603050405020304" pitchFamily="18" charset="0"/>
            </a:rPr>
            <a:t>(D)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361950</xdr:colOff>
      <xdr:row>1</xdr:row>
      <xdr:rowOff>133350</xdr:rowOff>
    </xdr:from>
    <xdr:to>
      <xdr:col>11</xdr:col>
      <xdr:colOff>680172</xdr:colOff>
      <xdr:row>14</xdr:row>
      <xdr:rowOff>14288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277A6B0-1A2A-4C7F-ADF6-188535C6AD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0.22464</cdr:x>
      <cdr:y>0.04128</cdr:y>
    </cdr:from>
    <cdr:to>
      <cdr:x>0.37476</cdr:x>
      <cdr:y>0.15749</cdr:y>
    </cdr:to>
    <cdr:sp macro="" textlink="">
      <cdr:nvSpPr>
        <cdr:cNvPr id="2" name="CuadroTexto 3"/>
        <cdr:cNvSpPr txBox="1"/>
      </cdr:nvSpPr>
      <cdr:spPr>
        <a:xfrm xmlns:a="http://schemas.openxmlformats.org/drawingml/2006/main">
          <a:off x="757469" y="84380"/>
          <a:ext cx="506182" cy="237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200">
              <a:latin typeface="Times New Roman" panose="02020603050405020304" pitchFamily="18" charset="0"/>
              <a:cs typeface="Times New Roman" panose="02020603050405020304" pitchFamily="18" charset="0"/>
            </a:rPr>
            <a:t>(D)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315384</xdr:colOff>
      <xdr:row>1</xdr:row>
      <xdr:rowOff>32809</xdr:rowOff>
    </xdr:from>
    <xdr:to>
      <xdr:col>18</xdr:col>
      <xdr:colOff>285750</xdr:colOff>
      <xdr:row>18</xdr:row>
      <xdr:rowOff>37497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84FEFDA-940C-44DF-BED0-69EEBF6A1D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442914</xdr:colOff>
      <xdr:row>4</xdr:row>
      <xdr:rowOff>173832</xdr:rowOff>
    </xdr:from>
    <xdr:to>
      <xdr:col>21</xdr:col>
      <xdr:colOff>295275</xdr:colOff>
      <xdr:row>22</xdr:row>
      <xdr:rowOff>135731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C184A3F-4EC8-476E-BB8D-20ED6D205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107156</xdr:colOff>
      <xdr:row>4</xdr:row>
      <xdr:rowOff>71437</xdr:rowOff>
    </xdr:from>
    <xdr:to>
      <xdr:col>27</xdr:col>
      <xdr:colOff>326231</xdr:colOff>
      <xdr:row>23</xdr:row>
      <xdr:rowOff>14287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CE6D533-B506-4A53-B52B-A2A03E224D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0.22963</cdr:x>
      <cdr:y>0.03582</cdr:y>
    </cdr:from>
    <cdr:to>
      <cdr:x>0.40233</cdr:x>
      <cdr:y>0.141</cdr:y>
    </cdr:to>
    <cdr:sp macro="" textlink="">
      <cdr:nvSpPr>
        <cdr:cNvPr id="2" name="CuadroTexto 3">
          <a:extLst xmlns:a="http://schemas.openxmlformats.org/drawingml/2006/main">
            <a:ext uri="{FF2B5EF4-FFF2-40B4-BE49-F238E27FC236}">
              <a16:creationId xmlns:a16="http://schemas.microsoft.com/office/drawing/2014/main" id="{614C0F7A-9E2E-4076-5CE5-13E2B92E198A}"/>
            </a:ext>
          </a:extLst>
        </cdr:cNvPr>
        <cdr:cNvSpPr txBox="1"/>
      </cdr:nvSpPr>
      <cdr:spPr>
        <a:xfrm xmlns:a="http://schemas.openxmlformats.org/drawingml/2006/main">
          <a:off x="778505" y="77799"/>
          <a:ext cx="585499" cy="228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200">
              <a:latin typeface="Times New Roman" panose="02020603050405020304" pitchFamily="18" charset="0"/>
              <a:cs typeface="Times New Roman" panose="02020603050405020304" pitchFamily="18" charset="0"/>
            </a:rPr>
            <a:t>(B)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0.25476</cdr:x>
      <cdr:y>0.07363</cdr:y>
    </cdr:from>
    <cdr:to>
      <cdr:x>0.45137</cdr:x>
      <cdr:y>0.18394</cdr:y>
    </cdr:to>
    <cdr:sp macro="" textlink="">
      <cdr:nvSpPr>
        <cdr:cNvPr id="3" name="CuadroTexto 3">
          <a:extLst xmlns:a="http://schemas.openxmlformats.org/drawingml/2006/main">
            <a:ext uri="{FF2B5EF4-FFF2-40B4-BE49-F238E27FC236}">
              <a16:creationId xmlns:a16="http://schemas.microsoft.com/office/drawing/2014/main" id="{8AD2A297-A865-A273-5ABA-88196A87E032}"/>
            </a:ext>
          </a:extLst>
        </cdr:cNvPr>
        <cdr:cNvSpPr txBox="1"/>
      </cdr:nvSpPr>
      <cdr:spPr>
        <a:xfrm xmlns:a="http://schemas.openxmlformats.org/drawingml/2006/main">
          <a:off x="793507" y="230789"/>
          <a:ext cx="612376" cy="3457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200">
              <a:latin typeface="Times New Roman" panose="02020603050405020304" pitchFamily="18" charset="0"/>
              <a:cs typeface="Times New Roman" panose="02020603050405020304" pitchFamily="18" charset="0"/>
            </a:rPr>
            <a:t>(C)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266702</xdr:colOff>
      <xdr:row>1</xdr:row>
      <xdr:rowOff>171451</xdr:rowOff>
    </xdr:from>
    <xdr:to>
      <xdr:col>23</xdr:col>
      <xdr:colOff>114300</xdr:colOff>
      <xdr:row>20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3D05AF4-BED0-4E09-B035-8ADF5752F4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192881</xdr:colOff>
      <xdr:row>1</xdr:row>
      <xdr:rowOff>140494</xdr:rowOff>
    </xdr:from>
    <xdr:to>
      <xdr:col>29</xdr:col>
      <xdr:colOff>30956</xdr:colOff>
      <xdr:row>20</xdr:row>
      <xdr:rowOff>83344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9D1AD47-F73F-4898-BDB4-55B883EEC3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0.22963</cdr:x>
      <cdr:y>0.03582</cdr:y>
    </cdr:from>
    <cdr:to>
      <cdr:x>0.40233</cdr:x>
      <cdr:y>0.141</cdr:y>
    </cdr:to>
    <cdr:sp macro="" textlink="">
      <cdr:nvSpPr>
        <cdr:cNvPr id="2" name="CuadroTexto 3">
          <a:extLst xmlns:a="http://schemas.openxmlformats.org/drawingml/2006/main">
            <a:ext uri="{FF2B5EF4-FFF2-40B4-BE49-F238E27FC236}">
              <a16:creationId xmlns:a16="http://schemas.microsoft.com/office/drawing/2014/main" id="{614C0F7A-9E2E-4076-5CE5-13E2B92E198A}"/>
            </a:ext>
          </a:extLst>
        </cdr:cNvPr>
        <cdr:cNvSpPr txBox="1"/>
      </cdr:nvSpPr>
      <cdr:spPr>
        <a:xfrm xmlns:a="http://schemas.openxmlformats.org/drawingml/2006/main">
          <a:off x="778505" y="77799"/>
          <a:ext cx="585499" cy="228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200">
              <a:latin typeface="Times New Roman" panose="02020603050405020304" pitchFamily="18" charset="0"/>
              <a:cs typeface="Times New Roman" panose="02020603050405020304" pitchFamily="18" charset="0"/>
            </a:rPr>
            <a:t>(B)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0.25476</cdr:x>
      <cdr:y>0.07363</cdr:y>
    </cdr:from>
    <cdr:to>
      <cdr:x>0.45137</cdr:x>
      <cdr:y>0.18394</cdr:y>
    </cdr:to>
    <cdr:sp macro="" textlink="">
      <cdr:nvSpPr>
        <cdr:cNvPr id="3" name="CuadroTexto 3">
          <a:extLst xmlns:a="http://schemas.openxmlformats.org/drawingml/2006/main">
            <a:ext uri="{FF2B5EF4-FFF2-40B4-BE49-F238E27FC236}">
              <a16:creationId xmlns:a16="http://schemas.microsoft.com/office/drawing/2014/main" id="{8AD2A297-A865-A273-5ABA-88196A87E032}"/>
            </a:ext>
          </a:extLst>
        </cdr:cNvPr>
        <cdr:cNvSpPr txBox="1"/>
      </cdr:nvSpPr>
      <cdr:spPr>
        <a:xfrm xmlns:a="http://schemas.openxmlformats.org/drawingml/2006/main">
          <a:off x="793507" y="230789"/>
          <a:ext cx="612376" cy="3457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200">
              <a:latin typeface="Times New Roman" panose="02020603050405020304" pitchFamily="18" charset="0"/>
              <a:cs typeface="Times New Roman" panose="02020603050405020304" pitchFamily="18" charset="0"/>
            </a:rPr>
            <a:t>(C)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1</xdr:row>
      <xdr:rowOff>142875</xdr:rowOff>
    </xdr:from>
    <xdr:to>
      <xdr:col>12</xdr:col>
      <xdr:colOff>89622</xdr:colOff>
      <xdr:row>14</xdr:row>
      <xdr:rowOff>23813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2A86051-EF39-4527-A3CB-79E492457F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 2007-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 2007-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86"/>
  <sheetViews>
    <sheetView tabSelected="1" zoomScale="90" zoomScaleNormal="90" workbookViewId="0">
      <selection activeCell="U14" sqref="U14"/>
    </sheetView>
  </sheetViews>
  <sheetFormatPr baseColWidth="10" defaultRowHeight="15" x14ac:dyDescent="0.25"/>
  <cols>
    <col min="1" max="1" width="4.85546875" style="6" bestFit="1" customWidth="1"/>
    <col min="2" max="2" width="6.7109375" style="6" bestFit="1" customWidth="1"/>
    <col min="3" max="3" width="9.85546875" style="6" bestFit="1" customWidth="1"/>
    <col min="4" max="4" width="11.5703125" style="6" bestFit="1" customWidth="1"/>
    <col min="5" max="5" width="10.7109375" style="6" bestFit="1" customWidth="1"/>
    <col min="6" max="6" width="8.7109375" style="6" bestFit="1" customWidth="1"/>
    <col min="7" max="7" width="13.5703125" style="6" bestFit="1" customWidth="1"/>
    <col min="8" max="8" width="12.140625" style="6" bestFit="1" customWidth="1"/>
    <col min="9" max="9" width="13.28515625" style="6" bestFit="1" customWidth="1"/>
    <col min="10" max="11" width="9" style="6" bestFit="1" customWidth="1"/>
    <col min="12" max="13" width="9.7109375" style="6" bestFit="1" customWidth="1"/>
    <col min="14" max="15" width="12" style="6" bestFit="1" customWidth="1"/>
    <col min="16" max="16384" width="11.42578125" style="6"/>
  </cols>
  <sheetData>
    <row r="1" spans="1:12" x14ac:dyDescent="0.25">
      <c r="I1" s="1"/>
      <c r="J1" s="1"/>
      <c r="K1" s="1"/>
      <c r="L1" s="1"/>
    </row>
    <row r="2" spans="1:12" x14ac:dyDescent="0.25">
      <c r="A2" s="6" t="s">
        <v>12</v>
      </c>
      <c r="B2" s="6" t="s">
        <v>4</v>
      </c>
      <c r="C2" s="6" t="s">
        <v>6</v>
      </c>
      <c r="D2" s="6" t="s">
        <v>8</v>
      </c>
      <c r="E2" s="6" t="s">
        <v>9</v>
      </c>
      <c r="F2" s="6" t="s">
        <v>10</v>
      </c>
      <c r="G2" s="6" t="s">
        <v>11</v>
      </c>
      <c r="H2" s="1" t="s">
        <v>17</v>
      </c>
      <c r="I2" s="1" t="s">
        <v>19</v>
      </c>
      <c r="J2" s="1" t="s">
        <v>20</v>
      </c>
      <c r="K2" s="1" t="s">
        <v>7</v>
      </c>
      <c r="L2" s="1" t="s">
        <v>18</v>
      </c>
    </row>
    <row r="3" spans="1:12" x14ac:dyDescent="0.25">
      <c r="A3" s="2">
        <v>0.17999999999999997</v>
      </c>
      <c r="B3" s="3">
        <v>300</v>
      </c>
      <c r="C3" s="4">
        <v>16.363636363636363</v>
      </c>
      <c r="D3" s="8">
        <f>C3/1000/3600</f>
        <v>4.5454545454545455E-6</v>
      </c>
      <c r="E3" s="9">
        <f>LN(D3-$F$24)</f>
        <v>-12.905502144857515</v>
      </c>
      <c r="F3" s="10">
        <f>1/(D3^0.5)</f>
        <v>469.04157598234292</v>
      </c>
      <c r="G3" s="10">
        <f>LN(D3/(D3-$F$24))-$F$24/D3</f>
        <v>0.15067487507857213</v>
      </c>
      <c r="H3" s="12">
        <f>100000/((119/1000/3600)*(0.479/((25+42.5)^1.5)))</f>
        <v>3502480170709.8652</v>
      </c>
      <c r="I3" s="5">
        <f t="shared" ref="I3:I18" si="0">100000/(D3*0.479/((25+42.5)^1.5))</f>
        <v>25470814130328.953</v>
      </c>
      <c r="J3" s="5">
        <f>I3-H3</f>
        <v>21968333959619.086</v>
      </c>
      <c r="K3" s="3">
        <f>J3*100/I3</f>
        <v>86.249045072574461</v>
      </c>
      <c r="L3" s="2">
        <f>I3*0.0000000000001</f>
        <v>2.5470814130328954</v>
      </c>
    </row>
    <row r="4" spans="1:12" x14ac:dyDescent="0.25">
      <c r="A4" s="2">
        <v>0.47537999999999997</v>
      </c>
      <c r="B4" s="3">
        <v>900</v>
      </c>
      <c r="C4" s="4">
        <v>14.405454545454544</v>
      </c>
      <c r="D4" s="8">
        <f t="shared" ref="D4:D18" si="1">C4/1000/3600</f>
        <v>4.0015151515151512E-6</v>
      </c>
      <c r="E4" s="9">
        <f t="shared" ref="E4:E18" si="2">LN(D4-$F$24)</f>
        <v>-13.152614338324353</v>
      </c>
      <c r="F4" s="10">
        <f t="shared" ref="F4:F18" si="3">1/(D4^0.5)</f>
        <v>499.90532992436209</v>
      </c>
      <c r="G4" s="10">
        <f t="shared" ref="G4:G18" si="4">LN(D4/(D4-$F$24))-$F$24/D4</f>
        <v>0.20869418693119934</v>
      </c>
      <c r="H4" s="12">
        <f t="shared" ref="H4:H18" si="5">100000/((119/1000/3600)*(0.479/((25+42.5)^1.5)))</f>
        <v>3502480170709.8652</v>
      </c>
      <c r="I4" s="5">
        <f t="shared" si="0"/>
        <v>28933147440737.176</v>
      </c>
      <c r="J4" s="5">
        <f t="shared" ref="J4:J18" si="6">I4-H4</f>
        <v>25430667270027.313</v>
      </c>
      <c r="K4" s="3">
        <f t="shared" ref="K4:K18" si="7">J4*100/I4</f>
        <v>87.894576012223069</v>
      </c>
      <c r="L4" s="2">
        <f t="shared" ref="L4:L18" si="8">I4*0.0000000000001</f>
        <v>2.8933147440737175</v>
      </c>
    </row>
    <row r="5" spans="1:12" x14ac:dyDescent="0.25">
      <c r="A5" s="2">
        <v>0.66205999999999965</v>
      </c>
      <c r="B5" s="3">
        <v>1500</v>
      </c>
      <c r="C5" s="4">
        <v>12.037454545454542</v>
      </c>
      <c r="D5" s="8">
        <f t="shared" si="1"/>
        <v>3.3437373737373729E-6</v>
      </c>
      <c r="E5" s="9">
        <f t="shared" si="2"/>
        <v>-13.56660081435656</v>
      </c>
      <c r="F5" s="10">
        <f t="shared" si="3"/>
        <v>546.86977413231523</v>
      </c>
      <c r="G5" s="10">
        <f t="shared" si="4"/>
        <v>0.34177002309165305</v>
      </c>
      <c r="H5" s="12">
        <f t="shared" si="5"/>
        <v>3502480170709.8652</v>
      </c>
      <c r="I5" s="5">
        <f t="shared" si="0"/>
        <v>34624856836685.605</v>
      </c>
      <c r="J5" s="5">
        <f t="shared" si="6"/>
        <v>31122376665975.742</v>
      </c>
      <c r="K5" s="3">
        <f t="shared" si="7"/>
        <v>89.884491978609631</v>
      </c>
      <c r="L5" s="2">
        <f t="shared" si="8"/>
        <v>3.4624856836685605</v>
      </c>
    </row>
    <row r="6" spans="1:12" x14ac:dyDescent="0.25">
      <c r="A6" s="2">
        <v>0.84204999999999985</v>
      </c>
      <c r="B6" s="3">
        <v>2100</v>
      </c>
      <c r="C6" s="4">
        <v>10.935714285714283</v>
      </c>
      <c r="D6" s="8">
        <f t="shared" si="1"/>
        <v>3.037698412698412E-6</v>
      </c>
      <c r="E6" s="9">
        <f t="shared" si="2"/>
        <v>-13.839201688078688</v>
      </c>
      <c r="F6" s="10">
        <f t="shared" si="3"/>
        <v>573.75657166354665</v>
      </c>
      <c r="G6" s="10">
        <f t="shared" si="4"/>
        <v>0.45628048043097014</v>
      </c>
      <c r="H6" s="12">
        <f t="shared" si="5"/>
        <v>3502480170709.8652</v>
      </c>
      <c r="I6" s="5">
        <f t="shared" si="0"/>
        <v>38113206821702.391</v>
      </c>
      <c r="J6" s="5">
        <f t="shared" si="6"/>
        <v>34610726650992.523</v>
      </c>
      <c r="K6" s="3">
        <f t="shared" si="7"/>
        <v>90.81032412965186</v>
      </c>
      <c r="L6" s="2">
        <f t="shared" si="8"/>
        <v>3.8113206821702392</v>
      </c>
    </row>
    <row r="7" spans="1:12" x14ac:dyDescent="0.25">
      <c r="A7" s="2">
        <v>1.0124500000000001</v>
      </c>
      <c r="B7" s="3">
        <v>2700</v>
      </c>
      <c r="C7" s="4">
        <v>10.226767676767677</v>
      </c>
      <c r="D7" s="8">
        <f t="shared" si="1"/>
        <v>2.8407687991021327E-6</v>
      </c>
      <c r="E7" s="9">
        <f t="shared" si="2"/>
        <v>-14.064410875140661</v>
      </c>
      <c r="F7" s="10">
        <f t="shared" si="3"/>
        <v>593.31052879120341</v>
      </c>
      <c r="G7" s="10">
        <f t="shared" si="4"/>
        <v>0.56742809603535149</v>
      </c>
      <c r="H7" s="12">
        <f t="shared" si="5"/>
        <v>3502480170709.8652</v>
      </c>
      <c r="I7" s="5">
        <f t="shared" si="0"/>
        <v>40755315216685.18</v>
      </c>
      <c r="J7" s="5">
        <f t="shared" si="6"/>
        <v>37252835045975.313</v>
      </c>
      <c r="K7" s="3">
        <f t="shared" si="7"/>
        <v>91.406077582548164</v>
      </c>
      <c r="L7" s="2">
        <f t="shared" si="8"/>
        <v>4.075531521668518</v>
      </c>
    </row>
    <row r="8" spans="1:12" x14ac:dyDescent="0.25">
      <c r="A8" s="2">
        <v>1.3860500000000002</v>
      </c>
      <c r="B8" s="3">
        <v>3930</v>
      </c>
      <c r="C8" s="4">
        <v>9.618667591950036</v>
      </c>
      <c r="D8" s="8">
        <f t="shared" si="1"/>
        <v>2.6718521088750101E-6</v>
      </c>
      <c r="E8" s="9">
        <f t="shared" si="2"/>
        <v>-14.308592866558781</v>
      </c>
      <c r="F8" s="10">
        <f t="shared" si="3"/>
        <v>611.77791101195373</v>
      </c>
      <c r="G8" s="10">
        <f t="shared" si="4"/>
        <v>0.70443759869999212</v>
      </c>
      <c r="H8" s="12">
        <f t="shared" si="5"/>
        <v>3502480170709.8652</v>
      </c>
      <c r="I8" s="5">
        <f t="shared" si="0"/>
        <v>43331899801100.742</v>
      </c>
      <c r="J8" s="5">
        <f t="shared" si="6"/>
        <v>39829419630390.875</v>
      </c>
      <c r="K8" s="3">
        <f t="shared" si="7"/>
        <v>91.917086057184832</v>
      </c>
      <c r="L8" s="2">
        <f t="shared" si="8"/>
        <v>4.3331899801100739</v>
      </c>
    </row>
    <row r="9" spans="1:12" x14ac:dyDescent="0.25">
      <c r="A9" s="2">
        <v>1.8568700000000002</v>
      </c>
      <c r="B9" s="3">
        <v>5700</v>
      </c>
      <c r="C9" s="4">
        <v>8.8845454545454565</v>
      </c>
      <c r="D9" s="8">
        <f t="shared" si="1"/>
        <v>2.4679292929292931E-6</v>
      </c>
      <c r="E9" s="9">
        <f t="shared" si="2"/>
        <v>-14.714899479035825</v>
      </c>
      <c r="F9" s="10">
        <f t="shared" si="3"/>
        <v>636.55164321095958</v>
      </c>
      <c r="G9" s="10">
        <f t="shared" si="4"/>
        <v>0.96761028855038045</v>
      </c>
      <c r="H9" s="12">
        <f t="shared" si="5"/>
        <v>3502480170709.8652</v>
      </c>
      <c r="I9" s="5">
        <f t="shared" si="0"/>
        <v>46912376378381.383</v>
      </c>
      <c r="J9" s="5">
        <f t="shared" si="6"/>
        <v>43409896207671.516</v>
      </c>
      <c r="K9" s="3">
        <f t="shared" si="7"/>
        <v>92.533995416348347</v>
      </c>
      <c r="L9" s="2">
        <f t="shared" si="8"/>
        <v>4.6912376378381389</v>
      </c>
    </row>
    <row r="10" spans="1:12" x14ac:dyDescent="0.25">
      <c r="A10" s="2">
        <v>2.3247600000000008</v>
      </c>
      <c r="B10" s="3">
        <v>7500</v>
      </c>
      <c r="C10" s="4">
        <v>8.4536727272727301</v>
      </c>
      <c r="D10" s="8">
        <f t="shared" si="1"/>
        <v>2.348242424242425E-6</v>
      </c>
      <c r="E10" s="9">
        <f t="shared" si="2"/>
        <v>-15.063326188782041</v>
      </c>
      <c r="F10" s="10">
        <f t="shared" si="3"/>
        <v>652.57214954742039</v>
      </c>
      <c r="G10" s="10">
        <f t="shared" si="4"/>
        <v>1.2237577621015807</v>
      </c>
      <c r="H10" s="12">
        <f t="shared" si="5"/>
        <v>3502480170709.8652</v>
      </c>
      <c r="I10" s="5">
        <f t="shared" si="0"/>
        <v>49303439316953.273</v>
      </c>
      <c r="J10" s="5">
        <f t="shared" si="6"/>
        <v>45800959146243.406</v>
      </c>
      <c r="K10" s="3">
        <f t="shared" si="7"/>
        <v>92.896073338426277</v>
      </c>
      <c r="L10" s="2">
        <f t="shared" si="8"/>
        <v>4.9303439316953277</v>
      </c>
    </row>
    <row r="11" spans="1:12" x14ac:dyDescent="0.25">
      <c r="A11" s="2">
        <v>2.7862500000000003</v>
      </c>
      <c r="B11" s="3">
        <v>9300</v>
      </c>
      <c r="C11" s="4">
        <v>8.1708211143695042</v>
      </c>
      <c r="D11" s="8">
        <f t="shared" si="1"/>
        <v>2.2696725317693067E-6</v>
      </c>
      <c r="E11" s="9">
        <f t="shared" si="2"/>
        <v>-15.383032255596207</v>
      </c>
      <c r="F11" s="10">
        <f t="shared" si="3"/>
        <v>663.77119085486277</v>
      </c>
      <c r="G11" s="10">
        <f t="shared" si="4"/>
        <v>1.4790477934581228</v>
      </c>
      <c r="H11" s="12">
        <f t="shared" si="5"/>
        <v>3502480170709.8652</v>
      </c>
      <c r="I11" s="5">
        <f t="shared" si="0"/>
        <v>51010190344454.219</v>
      </c>
      <c r="J11" s="5">
        <f t="shared" si="6"/>
        <v>47507710173744.352</v>
      </c>
      <c r="K11" s="3">
        <f t="shared" si="7"/>
        <v>93.13376376943738</v>
      </c>
      <c r="L11" s="2">
        <f t="shared" si="8"/>
        <v>5.1010190344454216</v>
      </c>
    </row>
    <row r="12" spans="1:12" x14ac:dyDescent="0.25">
      <c r="A12" s="2">
        <v>3.2390699999999999</v>
      </c>
      <c r="B12" s="3">
        <v>11100</v>
      </c>
      <c r="C12" s="4">
        <v>7.9584029484029495</v>
      </c>
      <c r="D12" s="8">
        <f t="shared" si="1"/>
        <v>2.2106674856674861E-6</v>
      </c>
      <c r="E12" s="9">
        <f t="shared" si="2"/>
        <v>-15.715592427861619</v>
      </c>
      <c r="F12" s="10">
        <f t="shared" si="3"/>
        <v>672.57123341574436</v>
      </c>
      <c r="G12" s="10">
        <f t="shared" si="4"/>
        <v>1.7610285042566896</v>
      </c>
      <c r="H12" s="12">
        <f t="shared" si="5"/>
        <v>3502480170709.8652</v>
      </c>
      <c r="I12" s="5">
        <f t="shared" si="0"/>
        <v>52371706109466.867</v>
      </c>
      <c r="J12" s="5">
        <f t="shared" si="6"/>
        <v>48869225938757</v>
      </c>
      <c r="K12" s="3">
        <f t="shared" si="7"/>
        <v>93.312266429913478</v>
      </c>
      <c r="L12" s="2">
        <f t="shared" si="8"/>
        <v>5.2371706109466869</v>
      </c>
    </row>
    <row r="13" spans="1:12" x14ac:dyDescent="0.25">
      <c r="A13" s="2">
        <v>3.6997200000000001</v>
      </c>
      <c r="B13" s="3">
        <v>12900</v>
      </c>
      <c r="C13" s="4">
        <v>7.8218181818181831</v>
      </c>
      <c r="D13" s="8">
        <f t="shared" si="1"/>
        <v>2.1727272727272733E-6</v>
      </c>
      <c r="E13" s="9">
        <f t="shared" si="2"/>
        <v>-16.008199980135096</v>
      </c>
      <c r="F13" s="10">
        <f t="shared" si="3"/>
        <v>678.41804665346604</v>
      </c>
      <c r="G13" s="10">
        <f t="shared" si="4"/>
        <v>2.0200440634470631</v>
      </c>
      <c r="H13" s="12">
        <f t="shared" si="5"/>
        <v>3502480170709.8652</v>
      </c>
      <c r="I13" s="5">
        <f t="shared" si="0"/>
        <v>53286222029976.883</v>
      </c>
      <c r="J13" s="5">
        <f t="shared" si="6"/>
        <v>49783741859267.016</v>
      </c>
      <c r="K13" s="3">
        <f t="shared" si="7"/>
        <v>93.427043544690605</v>
      </c>
      <c r="L13" s="2">
        <f t="shared" si="8"/>
        <v>5.3286222029976882</v>
      </c>
    </row>
    <row r="14" spans="1:12" x14ac:dyDescent="0.25">
      <c r="A14" s="2">
        <v>4.1817899999999995</v>
      </c>
      <c r="B14" s="3">
        <v>14748</v>
      </c>
      <c r="C14" s="4">
        <v>7.7331718322361125</v>
      </c>
      <c r="D14" s="8">
        <f t="shared" si="1"/>
        <v>2.1481032867322533E-6</v>
      </c>
      <c r="E14" s="9">
        <f t="shared" si="2"/>
        <v>-16.257447657725425</v>
      </c>
      <c r="F14" s="10">
        <f t="shared" si="3"/>
        <v>682.2953637053995</v>
      </c>
      <c r="G14" s="10">
        <f t="shared" si="4"/>
        <v>2.2470195636733203</v>
      </c>
      <c r="H14" s="12">
        <f t="shared" si="5"/>
        <v>3502480170709.8652</v>
      </c>
      <c r="I14" s="5">
        <f t="shared" si="0"/>
        <v>53897048889699.125</v>
      </c>
      <c r="J14" s="5">
        <f t="shared" si="6"/>
        <v>50394568718989.258</v>
      </c>
      <c r="K14" s="3">
        <f t="shared" si="7"/>
        <v>93.501536275431832</v>
      </c>
      <c r="L14" s="2">
        <f t="shared" si="8"/>
        <v>5.3897048889699128</v>
      </c>
    </row>
    <row r="15" spans="1:12" x14ac:dyDescent="0.25">
      <c r="A15" s="2">
        <v>4.7144666666666675</v>
      </c>
      <c r="B15" s="3">
        <v>15000</v>
      </c>
      <c r="C15" s="4">
        <v>7.7145818181818182</v>
      </c>
      <c r="D15" s="8">
        <f t="shared" si="1"/>
        <v>2.1429393939393938E-6</v>
      </c>
      <c r="E15" s="9">
        <f t="shared" si="2"/>
        <v>-16.318642897250513</v>
      </c>
      <c r="F15" s="10">
        <f t="shared" si="3"/>
        <v>683.11694086464934</v>
      </c>
      <c r="G15" s="10">
        <f t="shared" si="4"/>
        <v>2.3034958407319954</v>
      </c>
      <c r="H15" s="12">
        <f t="shared" si="5"/>
        <v>3502480170709.8652</v>
      </c>
      <c r="I15" s="5">
        <f t="shared" si="0"/>
        <v>54026925909602.273</v>
      </c>
      <c r="J15" s="5">
        <f t="shared" si="6"/>
        <v>50524445738892.406</v>
      </c>
      <c r="K15" s="3">
        <f t="shared" si="7"/>
        <v>93.517158135981674</v>
      </c>
      <c r="L15" s="2">
        <f t="shared" si="8"/>
        <v>5.4026925909602275</v>
      </c>
    </row>
    <row r="16" spans="1:12" x14ac:dyDescent="0.25">
      <c r="A16" s="2">
        <v>5.0797058823529397</v>
      </c>
      <c r="B16" s="3">
        <v>15300</v>
      </c>
      <c r="C16" s="4">
        <v>7.6965240641711228</v>
      </c>
      <c r="D16" s="8">
        <f t="shared" si="1"/>
        <v>2.1379233511586455E-6</v>
      </c>
      <c r="E16" s="9">
        <f t="shared" si="2"/>
        <v>-16.381901833872792</v>
      </c>
      <c r="F16" s="10">
        <f t="shared" si="3"/>
        <v>683.91784336052365</v>
      </c>
      <c r="G16" s="10">
        <f t="shared" si="4"/>
        <v>2.3621546720965441</v>
      </c>
      <c r="H16" s="12">
        <f t="shared" si="5"/>
        <v>3502480170709.8652</v>
      </c>
      <c r="I16" s="5">
        <f t="shared" si="0"/>
        <v>54153685071256.984</v>
      </c>
      <c r="J16" s="5">
        <f t="shared" si="6"/>
        <v>50651204900547.117</v>
      </c>
      <c r="K16" s="3">
        <f t="shared" si="7"/>
        <v>93.532332719183927</v>
      </c>
      <c r="L16" s="2">
        <f t="shared" si="8"/>
        <v>5.4153685071256987</v>
      </c>
    </row>
    <row r="17" spans="1:13" x14ac:dyDescent="0.25">
      <c r="A17" s="2">
        <v>5.5911000000000008</v>
      </c>
      <c r="B17" s="3">
        <v>15900</v>
      </c>
      <c r="C17" s="4">
        <v>7.672178387650086</v>
      </c>
      <c r="D17" s="8">
        <f t="shared" si="1"/>
        <v>2.1311606632361347E-6</v>
      </c>
      <c r="E17" s="9">
        <f t="shared" si="2"/>
        <v>-16.474062957830892</v>
      </c>
      <c r="F17" s="10">
        <f t="shared" si="3"/>
        <v>685.00210220378813</v>
      </c>
      <c r="G17" s="10">
        <f t="shared" si="4"/>
        <v>2.4480883463348082</v>
      </c>
      <c r="H17" s="12">
        <f t="shared" si="5"/>
        <v>3502480170709.8652</v>
      </c>
      <c r="I17" s="5">
        <f t="shared" si="0"/>
        <v>54325527803862.008</v>
      </c>
      <c r="J17" s="5">
        <f t="shared" si="6"/>
        <v>50823047633152.141</v>
      </c>
      <c r="K17" s="3">
        <f t="shared" si="7"/>
        <v>93.552791270882281</v>
      </c>
      <c r="L17" s="2">
        <f t="shared" si="8"/>
        <v>5.4325527803862013</v>
      </c>
    </row>
    <row r="18" spans="1:13" x14ac:dyDescent="0.25">
      <c r="A18" s="2">
        <v>6.1705199999999998</v>
      </c>
      <c r="B18" s="3">
        <v>16500</v>
      </c>
      <c r="C18" s="4">
        <v>7.6494049586776853</v>
      </c>
      <c r="D18" s="8">
        <f t="shared" si="1"/>
        <v>2.1248347107438015E-6</v>
      </c>
      <c r="E18" s="9">
        <f t="shared" si="2"/>
        <v>-16.568710862089432</v>
      </c>
      <c r="F18" s="10">
        <f t="shared" si="3"/>
        <v>686.02102153696899</v>
      </c>
      <c r="G18" s="10">
        <f t="shared" si="4"/>
        <v>2.5368842293050911</v>
      </c>
      <c r="H18" s="12">
        <f t="shared" si="5"/>
        <v>3502480170709.8652</v>
      </c>
      <c r="I18" s="5">
        <f t="shared" si="0"/>
        <v>54487263070266.742</v>
      </c>
      <c r="J18" s="5">
        <f t="shared" si="6"/>
        <v>50984782899556.875</v>
      </c>
      <c r="K18" s="3">
        <f t="shared" si="7"/>
        <v>93.571928606153207</v>
      </c>
      <c r="L18" s="2">
        <f t="shared" si="8"/>
        <v>5.448726307026674</v>
      </c>
    </row>
    <row r="19" spans="1:13" x14ac:dyDescent="0.25">
      <c r="A19" s="9"/>
      <c r="B19" s="7"/>
      <c r="C19" s="4"/>
      <c r="D19" s="13"/>
      <c r="E19" s="9" t="s">
        <v>1</v>
      </c>
      <c r="F19" s="10" t="s">
        <v>2</v>
      </c>
      <c r="G19" s="10" t="s">
        <v>3</v>
      </c>
      <c r="L19" s="10"/>
      <c r="M19" s="10"/>
    </row>
    <row r="20" spans="1:13" x14ac:dyDescent="0.25">
      <c r="A20" s="9"/>
      <c r="C20" s="4"/>
      <c r="D20" s="1" t="s">
        <v>13</v>
      </c>
      <c r="E20" s="14">
        <f>SLOPE(E3:E18,$B3:$B18)</f>
        <v>-2.0660728446168918E-4</v>
      </c>
      <c r="F20" s="10">
        <f>SLOPE(F3:F18,$B3:$B18)</f>
        <v>1.0424987072221717E-2</v>
      </c>
      <c r="G20" s="12">
        <f>SLOPE(G3:G18,$B3:$B18)</f>
        <v>1.4583305953734107E-4</v>
      </c>
      <c r="J20" s="10"/>
    </row>
    <row r="21" spans="1:13" x14ac:dyDescent="0.25">
      <c r="B21" s="7"/>
      <c r="C21" s="9"/>
      <c r="D21" s="1" t="s">
        <v>14</v>
      </c>
      <c r="E21" s="9">
        <f>INTERCEPT(E3:E18,$B3:$B18)</f>
        <v>-13.297041144477614</v>
      </c>
      <c r="F21" s="9">
        <f>INTERCEPT(F3:F18,$B3:$B18)</f>
        <v>537.97408293726721</v>
      </c>
      <c r="G21" s="9">
        <f>INTERCEPT(G3:G18,$B3:$B18)</f>
        <v>0.1272392743860733</v>
      </c>
    </row>
    <row r="22" spans="1:13" x14ac:dyDescent="0.25">
      <c r="B22" s="7"/>
      <c r="C22" s="9"/>
      <c r="D22" s="1" t="s">
        <v>5</v>
      </c>
      <c r="E22" s="10">
        <f>RSQ(E3:E18,$B3:$B18)</f>
        <v>0.97468334224271136</v>
      </c>
      <c r="F22" s="10">
        <f>RSQ(F3:F18,$B3:$B18)</f>
        <v>0.80078479056227392</v>
      </c>
      <c r="G22" s="10">
        <f>RSQ(G3:G18,$B3:$B18)</f>
        <v>0.99938737871104022</v>
      </c>
      <c r="J22" s="10"/>
    </row>
    <row r="23" spans="1:13" x14ac:dyDescent="0.25">
      <c r="B23" s="7"/>
      <c r="C23" s="9"/>
      <c r="D23" s="1" t="s">
        <v>0</v>
      </c>
      <c r="E23" s="11">
        <v>119</v>
      </c>
      <c r="F23" s="8">
        <f>E23/1000/3600</f>
        <v>3.3055555555555553E-5</v>
      </c>
      <c r="J23" s="10"/>
    </row>
    <row r="24" spans="1:13" x14ac:dyDescent="0.25">
      <c r="D24" s="1" t="s">
        <v>15</v>
      </c>
      <c r="E24" s="6">
        <v>7.42</v>
      </c>
      <c r="F24" s="8">
        <f>E24/1000/3600</f>
        <v>2.061111111111111E-6</v>
      </c>
      <c r="J24" s="10"/>
    </row>
    <row r="25" spans="1:13" x14ac:dyDescent="0.25">
      <c r="D25" s="1" t="s">
        <v>16</v>
      </c>
      <c r="E25" s="8">
        <f>-E20</f>
        <v>2.0660728446168918E-4</v>
      </c>
      <c r="F25" s="8">
        <f>F20</f>
        <v>1.0424987072221717E-2</v>
      </c>
      <c r="G25" s="12">
        <f>G20/$F$24^2</f>
        <v>34328369.664633721</v>
      </c>
      <c r="J25" s="10"/>
    </row>
    <row r="26" spans="1:13" x14ac:dyDescent="0.25">
      <c r="J26" s="10"/>
    </row>
    <row r="27" spans="1:13" x14ac:dyDescent="0.25">
      <c r="B27" s="7"/>
      <c r="C27" s="9"/>
      <c r="D27" s="13"/>
      <c r="E27" s="9"/>
      <c r="F27" s="10"/>
      <c r="G27" s="10"/>
      <c r="J27" s="10"/>
    </row>
    <row r="28" spans="1:13" x14ac:dyDescent="0.25">
      <c r="J28" s="10"/>
    </row>
    <row r="29" spans="1:13" x14ac:dyDescent="0.25">
      <c r="B29" s="7"/>
      <c r="C29" s="9"/>
      <c r="D29" s="13"/>
      <c r="E29" s="9"/>
      <c r="F29" s="10"/>
      <c r="G29" s="10"/>
      <c r="J29" s="10"/>
    </row>
    <row r="30" spans="1:13" x14ac:dyDescent="0.25">
      <c r="J30" s="10"/>
    </row>
    <row r="31" spans="1:13" x14ac:dyDescent="0.25">
      <c r="A31" s="9"/>
      <c r="B31" s="7"/>
      <c r="C31" s="9"/>
      <c r="D31" s="13"/>
      <c r="E31" s="9"/>
      <c r="F31" s="10"/>
      <c r="G31" s="10"/>
      <c r="H31" s="10"/>
      <c r="J31" s="10"/>
      <c r="K31" s="10"/>
      <c r="L31" s="10"/>
      <c r="M31" s="10"/>
    </row>
    <row r="32" spans="1:13" x14ac:dyDescent="0.25">
      <c r="A32" s="9"/>
      <c r="B32" s="7"/>
      <c r="C32" s="9"/>
      <c r="D32" s="13"/>
      <c r="E32" s="9"/>
      <c r="F32" s="10"/>
      <c r="G32" s="10"/>
      <c r="H32" s="10"/>
      <c r="J32" s="10"/>
      <c r="K32" s="10"/>
      <c r="L32" s="10"/>
      <c r="M32" s="10"/>
    </row>
    <row r="33" spans="1:13" x14ac:dyDescent="0.25">
      <c r="J33" s="10"/>
      <c r="K33" s="10"/>
      <c r="L33" s="10"/>
      <c r="M33" s="10"/>
    </row>
    <row r="34" spans="1:13" x14ac:dyDescent="0.25">
      <c r="A34" s="9"/>
      <c r="B34" s="7"/>
      <c r="C34" s="9"/>
      <c r="D34" s="13"/>
      <c r="E34" s="9"/>
      <c r="F34" s="10"/>
      <c r="G34" s="10"/>
      <c r="H34" s="10"/>
      <c r="J34" s="10"/>
      <c r="K34" s="10"/>
      <c r="L34" s="10"/>
      <c r="M34" s="10"/>
    </row>
    <row r="35" spans="1:13" x14ac:dyDescent="0.25">
      <c r="A35" s="9"/>
      <c r="B35" s="7"/>
      <c r="C35" s="9"/>
      <c r="D35" s="13"/>
      <c r="E35" s="9"/>
      <c r="F35" s="10"/>
      <c r="G35" s="10"/>
      <c r="H35" s="10"/>
      <c r="J35" s="10"/>
      <c r="K35" s="10"/>
      <c r="L35" s="10"/>
      <c r="M35" s="10"/>
    </row>
    <row r="36" spans="1:13" x14ac:dyDescent="0.25">
      <c r="A36" s="9"/>
      <c r="B36" s="7"/>
      <c r="C36" s="9"/>
      <c r="D36" s="13"/>
      <c r="E36" s="9"/>
      <c r="F36" s="10"/>
      <c r="G36" s="10"/>
      <c r="H36" s="10"/>
      <c r="J36" s="10"/>
      <c r="K36" s="10"/>
      <c r="L36" s="10"/>
      <c r="M36" s="10"/>
    </row>
    <row r="37" spans="1:13" x14ac:dyDescent="0.25">
      <c r="A37" s="9"/>
      <c r="B37" s="7"/>
      <c r="C37" s="9"/>
      <c r="D37" s="13"/>
      <c r="E37" s="9"/>
      <c r="F37" s="10"/>
      <c r="G37" s="10"/>
      <c r="H37" s="10"/>
      <c r="J37" s="10"/>
      <c r="K37" s="10"/>
      <c r="L37" s="10"/>
      <c r="M37" s="10"/>
    </row>
    <row r="38" spans="1:13" x14ac:dyDescent="0.25">
      <c r="A38" s="9"/>
      <c r="B38" s="7"/>
      <c r="C38" s="9"/>
      <c r="D38" s="13"/>
      <c r="E38" s="9"/>
      <c r="F38" s="10"/>
      <c r="G38" s="10"/>
      <c r="H38" s="10"/>
      <c r="J38" s="10"/>
      <c r="K38" s="10"/>
      <c r="L38" s="10"/>
      <c r="M38" s="10"/>
    </row>
    <row r="39" spans="1:13" x14ac:dyDescent="0.25">
      <c r="J39" s="10"/>
      <c r="K39" s="10"/>
      <c r="L39" s="10"/>
      <c r="M39" s="10"/>
    </row>
    <row r="40" spans="1:13" x14ac:dyDescent="0.25">
      <c r="J40" s="10"/>
      <c r="K40" s="10"/>
      <c r="L40" s="10"/>
      <c r="M40" s="10"/>
    </row>
    <row r="41" spans="1:13" x14ac:dyDescent="0.25">
      <c r="J41" s="10"/>
      <c r="K41" s="10"/>
      <c r="L41" s="10"/>
      <c r="M41" s="10"/>
    </row>
    <row r="42" spans="1:13" x14ac:dyDescent="0.25">
      <c r="J42" s="10"/>
      <c r="K42" s="10"/>
      <c r="L42" s="10"/>
      <c r="M42" s="10"/>
    </row>
    <row r="43" spans="1:13" x14ac:dyDescent="0.25">
      <c r="J43" s="10"/>
      <c r="K43" s="10"/>
      <c r="L43" s="10"/>
      <c r="M43" s="10"/>
    </row>
    <row r="44" spans="1:13" x14ac:dyDescent="0.25">
      <c r="J44" s="10"/>
      <c r="K44" s="10"/>
      <c r="L44" s="10"/>
      <c r="M44" s="10"/>
    </row>
    <row r="45" spans="1:13" x14ac:dyDescent="0.25">
      <c r="J45" s="10"/>
      <c r="K45" s="10"/>
      <c r="L45" s="10"/>
      <c r="M45" s="10"/>
    </row>
    <row r="46" spans="1:13" x14ac:dyDescent="0.25">
      <c r="J46" s="10"/>
      <c r="K46" s="10"/>
      <c r="L46" s="10"/>
      <c r="M46" s="10"/>
    </row>
    <row r="47" spans="1:13" x14ac:dyDescent="0.25">
      <c r="J47" s="10"/>
      <c r="K47" s="10"/>
      <c r="L47" s="10"/>
      <c r="M47" s="10"/>
    </row>
    <row r="48" spans="1:13" x14ac:dyDescent="0.25">
      <c r="J48" s="10"/>
      <c r="K48" s="10"/>
      <c r="L48" s="10"/>
      <c r="M48" s="10"/>
    </row>
    <row r="49" spans="1:13" x14ac:dyDescent="0.25">
      <c r="J49" s="10"/>
      <c r="K49" s="10"/>
      <c r="L49" s="10"/>
      <c r="M49" s="10"/>
    </row>
    <row r="50" spans="1:13" x14ac:dyDescent="0.25">
      <c r="J50" s="10"/>
      <c r="K50" s="10"/>
      <c r="L50" s="10"/>
      <c r="M50" s="10"/>
    </row>
    <row r="51" spans="1:13" x14ac:dyDescent="0.25">
      <c r="J51" s="10"/>
      <c r="K51" s="10"/>
      <c r="L51" s="10"/>
      <c r="M51" s="10"/>
    </row>
    <row r="52" spans="1:13" x14ac:dyDescent="0.25">
      <c r="J52" s="10"/>
      <c r="K52" s="10"/>
      <c r="L52" s="10"/>
      <c r="M52" s="10"/>
    </row>
    <row r="53" spans="1:13" x14ac:dyDescent="0.25">
      <c r="J53" s="10"/>
      <c r="K53" s="10"/>
      <c r="L53" s="10"/>
      <c r="M53" s="10"/>
    </row>
    <row r="54" spans="1:13" x14ac:dyDescent="0.25">
      <c r="J54" s="10"/>
      <c r="K54" s="10"/>
      <c r="L54" s="10"/>
      <c r="M54" s="10"/>
    </row>
    <row r="55" spans="1:13" x14ac:dyDescent="0.25">
      <c r="J55" s="10"/>
      <c r="K55" s="10"/>
      <c r="L55" s="10"/>
      <c r="M55" s="10"/>
    </row>
    <row r="56" spans="1:13" x14ac:dyDescent="0.25">
      <c r="J56" s="10"/>
      <c r="K56" s="10"/>
      <c r="L56" s="10"/>
      <c r="M56" s="10"/>
    </row>
    <row r="57" spans="1:13" x14ac:dyDescent="0.25">
      <c r="J57" s="10"/>
      <c r="K57" s="10"/>
      <c r="L57" s="10"/>
      <c r="M57" s="10"/>
    </row>
    <row r="58" spans="1:13" x14ac:dyDescent="0.25">
      <c r="A58" s="10"/>
      <c r="B58" s="7"/>
      <c r="C58" s="9"/>
      <c r="D58" s="13"/>
      <c r="E58" s="9"/>
      <c r="F58" s="10"/>
      <c r="G58" s="10"/>
      <c r="H58" s="10"/>
      <c r="I58" s="10"/>
      <c r="J58" s="10"/>
      <c r="K58" s="10"/>
      <c r="L58" s="10"/>
      <c r="M58" s="10"/>
    </row>
    <row r="59" spans="1:13" x14ac:dyDescent="0.25">
      <c r="A59" s="10"/>
      <c r="B59" s="7"/>
      <c r="C59" s="9"/>
      <c r="D59" s="13"/>
      <c r="E59" s="9"/>
      <c r="F59" s="10"/>
      <c r="G59" s="10"/>
      <c r="H59" s="10"/>
      <c r="I59" s="10"/>
      <c r="J59" s="10"/>
      <c r="K59" s="10"/>
      <c r="L59" s="10"/>
      <c r="M59" s="10"/>
    </row>
    <row r="60" spans="1:13" x14ac:dyDescent="0.25">
      <c r="A60" s="10"/>
      <c r="B60" s="7"/>
      <c r="C60" s="9"/>
      <c r="D60" s="13"/>
      <c r="E60" s="9"/>
      <c r="F60" s="10"/>
      <c r="G60" s="10"/>
      <c r="H60" s="10"/>
      <c r="I60" s="10"/>
      <c r="J60" s="10"/>
      <c r="K60" s="10"/>
      <c r="L60" s="10"/>
      <c r="M60" s="10"/>
    </row>
    <row r="61" spans="1:13" x14ac:dyDescent="0.25">
      <c r="A61" s="10"/>
      <c r="B61" s="7"/>
      <c r="C61" s="9"/>
      <c r="D61" s="13"/>
      <c r="E61" s="9"/>
      <c r="F61" s="10"/>
      <c r="G61" s="10"/>
      <c r="H61" s="10"/>
      <c r="I61" s="10"/>
      <c r="J61" s="10"/>
      <c r="K61" s="10"/>
      <c r="L61" s="10"/>
      <c r="M61" s="10"/>
    </row>
    <row r="62" spans="1:13" x14ac:dyDescent="0.25">
      <c r="A62" s="10"/>
      <c r="B62" s="7"/>
      <c r="C62" s="9"/>
      <c r="D62" s="13"/>
      <c r="E62" s="9"/>
      <c r="F62" s="10"/>
      <c r="G62" s="10"/>
      <c r="H62" s="10"/>
      <c r="I62" s="10"/>
      <c r="J62" s="10"/>
      <c r="K62" s="10"/>
      <c r="L62" s="10"/>
      <c r="M62" s="10"/>
    </row>
    <row r="63" spans="1:13" x14ac:dyDescent="0.25">
      <c r="A63" s="10"/>
      <c r="B63" s="7"/>
      <c r="C63" s="9"/>
      <c r="D63" s="13"/>
      <c r="E63" s="9"/>
      <c r="F63" s="10"/>
      <c r="G63" s="10"/>
      <c r="H63" s="10"/>
      <c r="I63" s="10"/>
      <c r="J63" s="10"/>
      <c r="K63" s="10"/>
      <c r="L63" s="10"/>
      <c r="M63" s="10"/>
    </row>
    <row r="64" spans="1:13" x14ac:dyDescent="0.25">
      <c r="A64" s="10"/>
      <c r="B64" s="7"/>
      <c r="C64" s="9"/>
      <c r="D64" s="13"/>
      <c r="E64" s="9"/>
      <c r="F64" s="10"/>
      <c r="G64" s="10"/>
      <c r="H64" s="10"/>
      <c r="I64" s="10"/>
      <c r="J64" s="10"/>
      <c r="K64" s="10"/>
      <c r="L64" s="10"/>
      <c r="M64" s="10"/>
    </row>
    <row r="65" spans="1:13" x14ac:dyDescent="0.25">
      <c r="A65" s="10"/>
      <c r="B65" s="7"/>
      <c r="C65" s="9"/>
      <c r="D65" s="13"/>
      <c r="E65" s="9"/>
      <c r="F65" s="10"/>
      <c r="G65" s="10"/>
      <c r="H65" s="10"/>
      <c r="I65" s="10"/>
      <c r="J65" s="10"/>
      <c r="K65" s="10"/>
      <c r="L65" s="10"/>
      <c r="M65" s="10"/>
    </row>
    <row r="66" spans="1:13" x14ac:dyDescent="0.25">
      <c r="A66" s="10"/>
      <c r="B66" s="7"/>
      <c r="C66" s="9"/>
      <c r="D66" s="13"/>
      <c r="E66" s="9"/>
      <c r="F66" s="10"/>
      <c r="G66" s="10"/>
      <c r="H66" s="10"/>
      <c r="I66" s="10"/>
      <c r="J66" s="10"/>
      <c r="K66" s="10"/>
      <c r="L66" s="10"/>
      <c r="M66" s="10"/>
    </row>
    <row r="67" spans="1:13" x14ac:dyDescent="0.25">
      <c r="A67" s="10"/>
      <c r="B67" s="7"/>
      <c r="C67" s="9"/>
      <c r="D67" s="13"/>
      <c r="E67" s="9"/>
      <c r="F67" s="10"/>
      <c r="G67" s="10"/>
      <c r="H67" s="10"/>
      <c r="I67" s="10"/>
      <c r="J67" s="10"/>
      <c r="K67" s="10"/>
      <c r="L67" s="10"/>
      <c r="M67" s="10"/>
    </row>
    <row r="68" spans="1:13" x14ac:dyDescent="0.25">
      <c r="A68" s="10"/>
      <c r="B68" s="7"/>
      <c r="C68" s="9"/>
      <c r="D68" s="13"/>
      <c r="E68" s="9"/>
      <c r="F68" s="10"/>
      <c r="G68" s="10"/>
      <c r="H68" s="10"/>
      <c r="I68" s="10"/>
      <c r="J68" s="10"/>
      <c r="K68" s="10"/>
      <c r="L68" s="10"/>
      <c r="M68" s="10"/>
    </row>
    <row r="69" spans="1:13" x14ac:dyDescent="0.25">
      <c r="A69" s="10"/>
      <c r="B69" s="7"/>
      <c r="C69" s="9"/>
      <c r="D69" s="13"/>
      <c r="E69" s="9"/>
      <c r="F69" s="10"/>
      <c r="G69" s="10"/>
      <c r="H69" s="10"/>
      <c r="I69" s="10"/>
      <c r="J69" s="10"/>
      <c r="K69" s="10"/>
      <c r="L69" s="10"/>
      <c r="M69" s="10"/>
    </row>
    <row r="70" spans="1:13" x14ac:dyDescent="0.25">
      <c r="A70" s="10"/>
      <c r="B70" s="7"/>
      <c r="C70" s="9"/>
      <c r="D70" s="13"/>
      <c r="E70" s="9"/>
      <c r="F70" s="10"/>
      <c r="G70" s="10"/>
      <c r="H70" s="10"/>
      <c r="I70" s="10"/>
      <c r="J70" s="10"/>
      <c r="K70" s="10"/>
      <c r="L70" s="10"/>
      <c r="M70" s="10"/>
    </row>
    <row r="71" spans="1:13" x14ac:dyDescent="0.25">
      <c r="A71" s="10"/>
      <c r="B71" s="7"/>
      <c r="C71" s="9"/>
      <c r="D71" s="13"/>
      <c r="E71" s="9"/>
      <c r="F71" s="10"/>
      <c r="G71" s="10"/>
      <c r="H71" s="10"/>
      <c r="I71" s="10"/>
      <c r="J71" s="10"/>
      <c r="K71" s="10"/>
      <c r="L71" s="10"/>
      <c r="M71" s="10"/>
    </row>
    <row r="72" spans="1:13" x14ac:dyDescent="0.25">
      <c r="A72" s="10"/>
      <c r="B72" s="7"/>
      <c r="C72" s="9"/>
      <c r="D72" s="13"/>
      <c r="E72" s="9"/>
      <c r="F72" s="10"/>
      <c r="G72" s="10"/>
      <c r="H72" s="10"/>
      <c r="I72" s="10"/>
      <c r="J72" s="10"/>
      <c r="K72" s="10"/>
      <c r="L72" s="10"/>
      <c r="M72" s="10"/>
    </row>
    <row r="73" spans="1:13" x14ac:dyDescent="0.25">
      <c r="A73" s="10"/>
      <c r="B73" s="7"/>
      <c r="C73" s="9"/>
      <c r="D73" s="13"/>
      <c r="E73" s="9"/>
      <c r="F73" s="10"/>
      <c r="G73" s="10"/>
      <c r="H73" s="10"/>
      <c r="I73" s="10"/>
      <c r="J73" s="10"/>
      <c r="K73" s="10"/>
      <c r="L73" s="10"/>
      <c r="M73" s="10"/>
    </row>
    <row r="74" spans="1:13" x14ac:dyDescent="0.25">
      <c r="A74" s="10"/>
      <c r="B74" s="7"/>
      <c r="C74" s="9"/>
      <c r="D74" s="13"/>
      <c r="E74" s="9"/>
      <c r="F74" s="10"/>
      <c r="G74" s="10"/>
      <c r="H74" s="10"/>
      <c r="I74" s="10"/>
      <c r="J74" s="10"/>
      <c r="K74" s="10"/>
      <c r="L74" s="10"/>
      <c r="M74" s="10"/>
    </row>
    <row r="75" spans="1:13" x14ac:dyDescent="0.25">
      <c r="A75" s="10"/>
      <c r="B75" s="7"/>
      <c r="C75" s="9"/>
      <c r="D75" s="13"/>
      <c r="E75" s="9"/>
      <c r="F75" s="10"/>
      <c r="G75" s="10"/>
      <c r="H75" s="10"/>
      <c r="I75" s="10"/>
      <c r="J75" s="10"/>
      <c r="K75" s="10"/>
      <c r="L75" s="10"/>
      <c r="M75" s="10"/>
    </row>
    <row r="76" spans="1:13" x14ac:dyDescent="0.25">
      <c r="A76" s="10"/>
      <c r="B76" s="7"/>
      <c r="C76" s="9"/>
      <c r="D76" s="13"/>
      <c r="E76" s="9"/>
      <c r="F76" s="10"/>
      <c r="G76" s="10"/>
      <c r="H76" s="10"/>
      <c r="I76" s="10"/>
      <c r="J76" s="10"/>
      <c r="K76" s="10"/>
      <c r="L76" s="10"/>
      <c r="M76" s="10"/>
    </row>
    <row r="77" spans="1:13" x14ac:dyDescent="0.25">
      <c r="A77" s="10"/>
      <c r="B77" s="7"/>
      <c r="C77" s="9"/>
      <c r="D77" s="13"/>
      <c r="E77" s="9"/>
      <c r="F77" s="10"/>
      <c r="G77" s="10"/>
      <c r="H77" s="10"/>
      <c r="I77" s="10"/>
      <c r="J77" s="10"/>
      <c r="K77" s="10"/>
      <c r="L77" s="10"/>
      <c r="M77" s="10"/>
    </row>
    <row r="78" spans="1:13" x14ac:dyDescent="0.25">
      <c r="A78" s="10"/>
      <c r="B78" s="7"/>
      <c r="C78" s="9"/>
      <c r="D78" s="13"/>
      <c r="E78" s="9"/>
      <c r="F78" s="10"/>
      <c r="G78" s="10"/>
      <c r="H78" s="10"/>
      <c r="I78" s="10"/>
      <c r="J78" s="10"/>
      <c r="K78" s="10"/>
      <c r="L78" s="10"/>
      <c r="M78" s="10"/>
    </row>
    <row r="79" spans="1:13" x14ac:dyDescent="0.25">
      <c r="A79" s="10"/>
      <c r="B79" s="7"/>
      <c r="C79" s="9"/>
      <c r="D79" s="13"/>
      <c r="E79" s="9"/>
      <c r="F79" s="10"/>
      <c r="G79" s="10"/>
      <c r="H79" s="10"/>
      <c r="I79" s="10"/>
      <c r="J79" s="10"/>
      <c r="K79" s="10"/>
      <c r="L79" s="10"/>
      <c r="M79" s="10"/>
    </row>
    <row r="80" spans="1:13" x14ac:dyDescent="0.25">
      <c r="A80" s="10"/>
      <c r="B80" s="7"/>
      <c r="C80" s="9"/>
      <c r="D80" s="13"/>
      <c r="E80" s="9"/>
      <c r="F80" s="10"/>
      <c r="G80" s="10"/>
      <c r="H80" s="10"/>
      <c r="I80" s="10"/>
      <c r="J80" s="10"/>
      <c r="K80" s="10"/>
      <c r="L80" s="10"/>
      <c r="M80" s="10"/>
    </row>
    <row r="81" spans="1:13" x14ac:dyDescent="0.25">
      <c r="A81" s="10"/>
      <c r="B81" s="7"/>
      <c r="C81" s="9"/>
      <c r="D81" s="13"/>
      <c r="E81" s="9"/>
      <c r="F81" s="10"/>
      <c r="G81" s="10"/>
      <c r="H81" s="10"/>
      <c r="I81" s="10"/>
      <c r="J81" s="10"/>
      <c r="K81" s="10"/>
      <c r="L81" s="10"/>
      <c r="M81" s="10"/>
    </row>
    <row r="82" spans="1:13" x14ac:dyDescent="0.25">
      <c r="A82" s="10"/>
      <c r="B82" s="7"/>
      <c r="C82" s="9"/>
      <c r="D82" s="13"/>
      <c r="E82" s="9"/>
      <c r="F82" s="10"/>
      <c r="G82" s="10"/>
      <c r="H82" s="10"/>
      <c r="I82" s="10"/>
      <c r="J82" s="10"/>
      <c r="K82" s="10"/>
      <c r="L82" s="10"/>
      <c r="M82" s="10"/>
    </row>
    <row r="83" spans="1:13" x14ac:dyDescent="0.25">
      <c r="A83" s="10"/>
      <c r="B83" s="7"/>
      <c r="C83" s="9"/>
      <c r="D83" s="13"/>
      <c r="E83" s="9"/>
      <c r="F83" s="10"/>
      <c r="G83" s="10"/>
      <c r="H83" s="10"/>
      <c r="I83" s="10"/>
      <c r="J83" s="10"/>
      <c r="K83" s="10"/>
      <c r="L83" s="10"/>
      <c r="M83" s="10"/>
    </row>
    <row r="84" spans="1:13" x14ac:dyDescent="0.25">
      <c r="A84" s="10"/>
      <c r="B84" s="7"/>
      <c r="C84" s="9"/>
      <c r="D84" s="13"/>
      <c r="E84" s="9"/>
      <c r="F84" s="10"/>
      <c r="G84" s="10"/>
      <c r="H84" s="10"/>
      <c r="I84" s="10"/>
      <c r="J84" s="10"/>
      <c r="K84" s="10"/>
      <c r="L84" s="10"/>
      <c r="M84" s="10"/>
    </row>
    <row r="85" spans="1:13" x14ac:dyDescent="0.25">
      <c r="A85" s="10"/>
      <c r="B85" s="7"/>
      <c r="C85" s="9"/>
      <c r="D85" s="13"/>
      <c r="E85" s="9"/>
      <c r="F85" s="10"/>
      <c r="G85" s="10"/>
      <c r="H85" s="10"/>
      <c r="I85" s="10"/>
      <c r="J85" s="10"/>
      <c r="K85" s="10"/>
      <c r="L85" s="10"/>
      <c r="M85" s="10"/>
    </row>
    <row r="86" spans="1:13" x14ac:dyDescent="0.25">
      <c r="A86" s="10"/>
      <c r="B86" s="7"/>
      <c r="C86" s="9"/>
      <c r="D86" s="13"/>
      <c r="E86" s="9"/>
      <c r="F86" s="10"/>
      <c r="G86" s="10"/>
      <c r="H86" s="10"/>
      <c r="I86" s="10"/>
      <c r="J86" s="10"/>
      <c r="K86" s="10"/>
      <c r="L86" s="10"/>
      <c r="M86" s="10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D8F1A-BE68-4727-B236-4DB2A0815358}">
  <dimension ref="A1:P85"/>
  <sheetViews>
    <sheetView zoomScaleNormal="100" workbookViewId="0">
      <selection activeCell="J31" sqref="J31"/>
    </sheetView>
  </sheetViews>
  <sheetFormatPr baseColWidth="10" defaultRowHeight="15" x14ac:dyDescent="0.25"/>
  <cols>
    <col min="1" max="1" width="4.85546875" style="6" bestFit="1" customWidth="1"/>
    <col min="2" max="2" width="6.7109375" style="6" bestFit="1" customWidth="1"/>
    <col min="3" max="3" width="9.85546875" style="6" bestFit="1" customWidth="1"/>
    <col min="4" max="4" width="11.5703125" style="6" bestFit="1" customWidth="1"/>
    <col min="5" max="5" width="10.7109375" style="6" bestFit="1" customWidth="1"/>
    <col min="6" max="6" width="8.7109375" style="6" bestFit="1" customWidth="1"/>
    <col min="7" max="7" width="13.5703125" style="6" bestFit="1" customWidth="1"/>
    <col min="8" max="8" width="9.7109375" style="6" bestFit="1" customWidth="1"/>
    <col min="9" max="9" width="8.5703125" style="6" bestFit="1" customWidth="1"/>
    <col min="10" max="10" width="10.42578125" style="6" bestFit="1" customWidth="1"/>
    <col min="11" max="11" width="4.7109375" style="6" bestFit="1" customWidth="1"/>
    <col min="12" max="12" width="7.85546875" style="6" bestFit="1" customWidth="1"/>
    <col min="13" max="14" width="9" style="6" bestFit="1" customWidth="1"/>
    <col min="15" max="16" width="9.7109375" style="6" bestFit="1" customWidth="1"/>
    <col min="17" max="18" width="12" style="6" bestFit="1" customWidth="1"/>
    <col min="19" max="16384" width="11.42578125" style="6"/>
  </cols>
  <sheetData>
    <row r="1" spans="1:15" x14ac:dyDescent="0.25">
      <c r="L1" s="1"/>
      <c r="M1" s="1"/>
      <c r="N1" s="1"/>
      <c r="O1" s="1"/>
    </row>
    <row r="2" spans="1:15" x14ac:dyDescent="0.25">
      <c r="A2" s="6" t="s">
        <v>12</v>
      </c>
      <c r="B2" s="6" t="s">
        <v>4</v>
      </c>
      <c r="C2" s="6" t="s">
        <v>6</v>
      </c>
      <c r="D2" s="6" t="s">
        <v>8</v>
      </c>
      <c r="E2" s="6" t="s">
        <v>9</v>
      </c>
      <c r="F2" s="6" t="s">
        <v>10</v>
      </c>
      <c r="G2" s="6" t="s">
        <v>11</v>
      </c>
      <c r="H2" s="1" t="s">
        <v>17</v>
      </c>
      <c r="I2" s="1" t="s">
        <v>19</v>
      </c>
      <c r="J2" s="1" t="s">
        <v>20</v>
      </c>
      <c r="K2" s="1" t="s">
        <v>7</v>
      </c>
      <c r="L2" s="1" t="s">
        <v>18</v>
      </c>
    </row>
    <row r="3" spans="1:15" x14ac:dyDescent="0.25">
      <c r="A3" s="2">
        <v>0.10618811881188119</v>
      </c>
      <c r="B3" s="3">
        <v>300</v>
      </c>
      <c r="C3" s="4">
        <v>19.5</v>
      </c>
      <c r="D3" s="8">
        <f>C3/1000/3600</f>
        <v>5.4166666666666668E-6</v>
      </c>
      <c r="E3" s="9">
        <f t="shared" ref="E3:E17" si="0">LN(D3-$F$23)</f>
        <v>-13.301357144105609</v>
      </c>
      <c r="F3" s="10">
        <f>1/(D3^0.5)</f>
        <v>429.66892442365969</v>
      </c>
      <c r="G3" s="10">
        <f t="shared" ref="G3:G17" si="1">LN(D3/(D3-$F$23))-$F$23/D3</f>
        <v>0.48404515496692013</v>
      </c>
      <c r="H3" s="12">
        <f>100000/((119/1000/3600)*(0.479/((25+42.5)^1.5)))</f>
        <v>3502480170709.8652</v>
      </c>
      <c r="I3" s="5">
        <f t="shared" ref="I3:I17" si="2">100000/(D3*0.479/((25+42.5)^1.5))</f>
        <v>21374109759716.605</v>
      </c>
      <c r="J3" s="5">
        <f>I3-H3</f>
        <v>17871629589006.742</v>
      </c>
      <c r="K3" s="3">
        <f>J3*100/I3</f>
        <v>83.613445378151269</v>
      </c>
      <c r="L3" s="2">
        <f>I3*0.0000000000001</f>
        <v>2.1374109759716604</v>
      </c>
    </row>
    <row r="4" spans="1:15" x14ac:dyDescent="0.25">
      <c r="A4" s="2">
        <v>0.30465346534653481</v>
      </c>
      <c r="B4" s="3">
        <v>900</v>
      </c>
      <c r="C4" s="4">
        <v>18.648484848484856</v>
      </c>
      <c r="D4" s="8">
        <f t="shared" ref="D4:D17" si="3">C4/1000/3600</f>
        <v>5.1801346801346818E-6</v>
      </c>
      <c r="E4" s="9">
        <f t="shared" si="0"/>
        <v>-13.453864823915337</v>
      </c>
      <c r="F4" s="10">
        <f t="shared" ref="F4:F17" si="4">1/(D4^0.5)</f>
        <v>439.36906339733702</v>
      </c>
      <c r="G4" s="10">
        <f t="shared" si="1"/>
        <v>0.56033839308368183</v>
      </c>
      <c r="H4" s="12">
        <f t="shared" ref="H4:H17" si="5">100000/((119/1000/3600)*(0.479/((25+42.5)^1.5)))</f>
        <v>3502480170709.8652</v>
      </c>
      <c r="I4" s="5">
        <f t="shared" si="2"/>
        <v>22350080647347.469</v>
      </c>
      <c r="J4" s="5">
        <f t="shared" ref="J4:J17" si="6">I4-H4</f>
        <v>18847600476637.602</v>
      </c>
      <c r="K4" s="3">
        <f t="shared" ref="K4:K17" si="7">J4*100/I4</f>
        <v>84.32900432900432</v>
      </c>
      <c r="L4" s="2">
        <f t="shared" ref="L4:L17" si="8">I4*0.0000000000001</f>
        <v>2.235008064734747</v>
      </c>
    </row>
    <row r="5" spans="1:15" x14ac:dyDescent="0.25">
      <c r="A5" s="2">
        <v>0.48706435643564355</v>
      </c>
      <c r="B5" s="3">
        <v>1500</v>
      </c>
      <c r="C5" s="4">
        <v>17.888545454545454</v>
      </c>
      <c r="D5" s="8">
        <f t="shared" si="3"/>
        <v>4.9690404040404041E-6</v>
      </c>
      <c r="E5" s="9">
        <f t="shared" si="0"/>
        <v>-13.612899597274357</v>
      </c>
      <c r="F5" s="10">
        <f t="shared" si="4"/>
        <v>448.60461387097598</v>
      </c>
      <c r="G5" s="10">
        <f t="shared" si="1"/>
        <v>0.64706094355672572</v>
      </c>
      <c r="H5" s="12">
        <f t="shared" si="5"/>
        <v>3502480170709.8652</v>
      </c>
      <c r="I5" s="5">
        <f t="shared" si="2"/>
        <v>23299554531895.539</v>
      </c>
      <c r="J5" s="5">
        <f t="shared" si="6"/>
        <v>19797074361185.672</v>
      </c>
      <c r="K5" s="3">
        <f t="shared" si="7"/>
        <v>84.967608861726504</v>
      </c>
      <c r="L5" s="2">
        <f t="shared" si="8"/>
        <v>2.3299554531895539</v>
      </c>
    </row>
    <row r="6" spans="1:15" x14ac:dyDescent="0.25">
      <c r="A6" s="2">
        <v>0.6555742574257426</v>
      </c>
      <c r="B6" s="3">
        <v>2100</v>
      </c>
      <c r="C6" s="4">
        <v>17.198181818181819</v>
      </c>
      <c r="D6" s="8">
        <f t="shared" si="3"/>
        <v>4.7772727272727284E-6</v>
      </c>
      <c r="E6" s="9">
        <f t="shared" si="0"/>
        <v>-13.783209613175952</v>
      </c>
      <c r="F6" s="10">
        <f t="shared" si="4"/>
        <v>457.51989344945213</v>
      </c>
      <c r="G6" s="10">
        <f t="shared" si="1"/>
        <v>0.74776509498100829</v>
      </c>
      <c r="H6" s="12">
        <f t="shared" si="5"/>
        <v>3502480170709.8652</v>
      </c>
      <c r="I6" s="5">
        <f t="shared" si="2"/>
        <v>24234837421816.32</v>
      </c>
      <c r="J6" s="5">
        <f t="shared" si="6"/>
        <v>20732357251106.453</v>
      </c>
      <c r="K6" s="3">
        <f t="shared" si="7"/>
        <v>85.547746371275764</v>
      </c>
      <c r="L6" s="2">
        <f t="shared" si="8"/>
        <v>2.4234837421816322</v>
      </c>
    </row>
    <row r="7" spans="1:15" x14ac:dyDescent="0.25">
      <c r="A7" s="2">
        <v>0.82512871287128708</v>
      </c>
      <c r="B7" s="3">
        <v>2700</v>
      </c>
      <c r="C7" s="4">
        <v>16.835959595959594</v>
      </c>
      <c r="D7" s="8">
        <f t="shared" si="3"/>
        <v>4.6766554433221096E-6</v>
      </c>
      <c r="E7" s="9">
        <f t="shared" si="0"/>
        <v>-13.885706654238431</v>
      </c>
      <c r="F7" s="10">
        <f t="shared" si="4"/>
        <v>462.41542538129579</v>
      </c>
      <c r="G7" s="10">
        <f t="shared" si="1"/>
        <v>0.81211213921879633</v>
      </c>
      <c r="H7" s="12">
        <f t="shared" si="5"/>
        <v>3502480170709.8652</v>
      </c>
      <c r="I7" s="5">
        <f t="shared" si="2"/>
        <v>24756244984960.59</v>
      </c>
      <c r="J7" s="5">
        <f t="shared" si="6"/>
        <v>21253764814250.727</v>
      </c>
      <c r="K7" s="3">
        <f t="shared" si="7"/>
        <v>85.852134793311279</v>
      </c>
      <c r="L7" s="2">
        <f t="shared" si="8"/>
        <v>2.4756244984960589</v>
      </c>
    </row>
    <row r="8" spans="1:15" x14ac:dyDescent="0.25">
      <c r="A8" s="2">
        <v>1.0610643564356437</v>
      </c>
      <c r="B8" s="3">
        <v>3600</v>
      </c>
      <c r="C8" s="4">
        <v>16.237500000000001</v>
      </c>
      <c r="D8" s="8">
        <f t="shared" si="3"/>
        <v>4.5104166666666676E-6</v>
      </c>
      <c r="E8" s="9">
        <f t="shared" si="0"/>
        <v>-14.082119931280817</v>
      </c>
      <c r="F8" s="10">
        <f t="shared" si="4"/>
        <v>470.85985911777027</v>
      </c>
      <c r="G8" s="10">
        <f t="shared" si="1"/>
        <v>0.94282185057483014</v>
      </c>
      <c r="H8" s="12">
        <f t="shared" si="5"/>
        <v>3502480170709.8652</v>
      </c>
      <c r="I8" s="5">
        <f t="shared" si="2"/>
        <v>25668676847696.617</v>
      </c>
      <c r="J8" s="5">
        <f t="shared" si="6"/>
        <v>22166196676986.75</v>
      </c>
      <c r="K8" s="3">
        <f t="shared" si="7"/>
        <v>86.355042016806706</v>
      </c>
      <c r="L8" s="2">
        <f t="shared" si="8"/>
        <v>2.5668676847696617</v>
      </c>
    </row>
    <row r="9" spans="1:15" x14ac:dyDescent="0.25">
      <c r="A9" s="2">
        <v>1.5150346534653467</v>
      </c>
      <c r="B9" s="3">
        <v>5400</v>
      </c>
      <c r="C9" s="4">
        <v>15.456414141414143</v>
      </c>
      <c r="D9" s="8">
        <f t="shared" si="3"/>
        <v>4.2934483726150399E-6</v>
      </c>
      <c r="E9" s="9">
        <f t="shared" si="0"/>
        <v>-14.415160240324782</v>
      </c>
      <c r="F9" s="10">
        <f t="shared" si="4"/>
        <v>482.61062336620267</v>
      </c>
      <c r="G9" s="10">
        <f t="shared" si="1"/>
        <v>1.1846100683639005</v>
      </c>
      <c r="H9" s="12">
        <f t="shared" si="5"/>
        <v>3502480170709.8652</v>
      </c>
      <c r="I9" s="5">
        <f t="shared" si="2"/>
        <v>26965836739435.367</v>
      </c>
      <c r="J9" s="5">
        <f t="shared" si="6"/>
        <v>23463356568725.5</v>
      </c>
      <c r="K9" s="3">
        <f t="shared" si="7"/>
        <v>87.011416687887262</v>
      </c>
      <c r="L9" s="2">
        <f t="shared" si="8"/>
        <v>2.6965836739435369</v>
      </c>
    </row>
    <row r="10" spans="1:15" x14ac:dyDescent="0.25">
      <c r="A10" s="2">
        <v>1.9532326732673271</v>
      </c>
      <c r="B10" s="3">
        <v>7200</v>
      </c>
      <c r="C10" s="4">
        <v>14.945189393939398</v>
      </c>
      <c r="D10" s="8">
        <f t="shared" si="3"/>
        <v>4.1514414983164991E-6</v>
      </c>
      <c r="E10" s="9">
        <f t="shared" si="0"/>
        <v>-14.714459890173616</v>
      </c>
      <c r="F10" s="10">
        <f t="shared" si="4"/>
        <v>490.79546241986384</v>
      </c>
      <c r="G10" s="10">
        <f t="shared" si="1"/>
        <v>1.4204424811426279</v>
      </c>
      <c r="H10" s="12">
        <f t="shared" si="5"/>
        <v>3502480170709.8652</v>
      </c>
      <c r="I10" s="5">
        <f t="shared" si="2"/>
        <v>27888247470687.355</v>
      </c>
      <c r="J10" s="5">
        <f t="shared" si="6"/>
        <v>24385767299977.492</v>
      </c>
      <c r="K10" s="3">
        <f t="shared" si="7"/>
        <v>87.441017316017309</v>
      </c>
      <c r="L10" s="2">
        <f t="shared" si="8"/>
        <v>2.7888247470687357</v>
      </c>
    </row>
    <row r="11" spans="1:15" x14ac:dyDescent="0.25">
      <c r="A11" s="2">
        <v>2.8119356435643561</v>
      </c>
      <c r="B11" s="3">
        <v>10800</v>
      </c>
      <c r="C11" s="4">
        <v>14.343712121212119</v>
      </c>
      <c r="D11" s="8">
        <f t="shared" si="3"/>
        <v>3.9843644781144778E-6</v>
      </c>
      <c r="E11" s="9">
        <f t="shared" si="0"/>
        <v>-15.242960162167082</v>
      </c>
      <c r="F11" s="10">
        <f t="shared" si="4"/>
        <v>500.9800943594052</v>
      </c>
      <c r="G11" s="10">
        <f t="shared" si="1"/>
        <v>1.8700428083639122</v>
      </c>
      <c r="H11" s="12">
        <f t="shared" si="5"/>
        <v>3502480170709.8652</v>
      </c>
      <c r="I11" s="5">
        <f t="shared" si="2"/>
        <v>29057690003280.156</v>
      </c>
      <c r="J11" s="5">
        <f t="shared" si="6"/>
        <v>25555209832570.289</v>
      </c>
      <c r="K11" s="3">
        <f t="shared" si="7"/>
        <v>87.946460402342751</v>
      </c>
      <c r="L11" s="2">
        <f t="shared" si="8"/>
        <v>2.9057690003280157</v>
      </c>
    </row>
    <row r="12" spans="1:15" x14ac:dyDescent="0.25">
      <c r="A12" s="2">
        <v>3.6759999999999988</v>
      </c>
      <c r="B12" s="3">
        <v>14400</v>
      </c>
      <c r="C12" s="4">
        <v>14.063484848484844</v>
      </c>
      <c r="D12" s="8">
        <f t="shared" si="3"/>
        <v>3.9065235690235679E-6</v>
      </c>
      <c r="E12" s="9">
        <f t="shared" si="0"/>
        <v>-15.635181197625954</v>
      </c>
      <c r="F12" s="10">
        <f t="shared" si="4"/>
        <v>505.94670928467411</v>
      </c>
      <c r="G12" s="10">
        <f t="shared" si="1"/>
        <v>2.2238078556228356</v>
      </c>
      <c r="H12" s="12">
        <f t="shared" si="5"/>
        <v>3502480170709.8652</v>
      </c>
      <c r="I12" s="5">
        <f t="shared" si="2"/>
        <v>29636689967307.648</v>
      </c>
      <c r="J12" s="5">
        <f t="shared" si="6"/>
        <v>26134209796597.781</v>
      </c>
      <c r="K12" s="3">
        <f t="shared" si="7"/>
        <v>88.181945505474914</v>
      </c>
      <c r="L12" s="2">
        <f t="shared" si="8"/>
        <v>2.9636689967307648</v>
      </c>
    </row>
    <row r="13" spans="1:15" x14ac:dyDescent="0.25">
      <c r="A13" s="2">
        <v>4.5288415841584149</v>
      </c>
      <c r="B13" s="3">
        <v>18000</v>
      </c>
      <c r="C13" s="4">
        <v>13.860999999999997</v>
      </c>
      <c r="D13" s="8">
        <f t="shared" si="3"/>
        <v>3.8502777777777765E-6</v>
      </c>
      <c r="E13" s="9">
        <f t="shared" si="0"/>
        <v>-16.061400307281787</v>
      </c>
      <c r="F13" s="10">
        <f t="shared" si="4"/>
        <v>509.62880689163774</v>
      </c>
      <c r="G13" s="10">
        <f t="shared" si="1"/>
        <v>2.6215222393727902</v>
      </c>
      <c r="H13" s="12">
        <f t="shared" si="5"/>
        <v>3502480170709.8652</v>
      </c>
      <c r="I13" s="5">
        <f t="shared" si="2"/>
        <v>30069629919520.527</v>
      </c>
      <c r="J13" s="5">
        <f t="shared" si="6"/>
        <v>26567149748810.664</v>
      </c>
      <c r="K13" s="3">
        <f t="shared" si="7"/>
        <v>88.352100840336149</v>
      </c>
      <c r="L13" s="2">
        <f t="shared" si="8"/>
        <v>3.0069629919520526</v>
      </c>
    </row>
    <row r="14" spans="1:15" x14ac:dyDescent="0.25">
      <c r="A14" s="2">
        <v>5.3743019801980196</v>
      </c>
      <c r="B14" s="3">
        <v>21600</v>
      </c>
      <c r="C14" s="4">
        <v>13.707184343434344</v>
      </c>
      <c r="D14" s="8">
        <f t="shared" si="3"/>
        <v>3.8075512065095399E-6</v>
      </c>
      <c r="E14" s="9">
        <f t="shared" si="0"/>
        <v>-16.578437908876339</v>
      </c>
      <c r="F14" s="10">
        <f t="shared" si="4"/>
        <v>512.48023873690988</v>
      </c>
      <c r="G14" s="10">
        <f t="shared" si="1"/>
        <v>3.116487712714509</v>
      </c>
      <c r="H14" s="12">
        <f t="shared" si="5"/>
        <v>3502480170709.8652</v>
      </c>
      <c r="I14" s="5">
        <f t="shared" si="2"/>
        <v>30407057341000.609</v>
      </c>
      <c r="J14" s="5">
        <f t="shared" si="6"/>
        <v>26904577170290.742</v>
      </c>
      <c r="K14" s="3">
        <f t="shared" si="7"/>
        <v>88.481357694592973</v>
      </c>
      <c r="L14" s="2">
        <f t="shared" si="8"/>
        <v>3.0407057341000612</v>
      </c>
    </row>
    <row r="15" spans="1:15" x14ac:dyDescent="0.25">
      <c r="A15" s="2">
        <v>5.9548118811881183</v>
      </c>
      <c r="B15" s="3">
        <v>24000</v>
      </c>
      <c r="C15" s="4">
        <v>13.668999999999997</v>
      </c>
      <c r="D15" s="8">
        <f t="shared" si="3"/>
        <v>3.7969444444444436E-6</v>
      </c>
      <c r="E15" s="9">
        <f t="shared" si="0"/>
        <v>-16.76245266734885</v>
      </c>
      <c r="F15" s="10">
        <f t="shared" si="4"/>
        <v>513.19554615484253</v>
      </c>
      <c r="G15" s="10">
        <f t="shared" si="1"/>
        <v>3.2949656666941687</v>
      </c>
      <c r="H15" s="12">
        <f t="shared" si="5"/>
        <v>3502480170709.8652</v>
      </c>
      <c r="I15" s="5">
        <f t="shared" si="2"/>
        <v>30491999437740.434</v>
      </c>
      <c r="J15" s="5">
        <f t="shared" si="6"/>
        <v>26989519267030.57</v>
      </c>
      <c r="K15" s="3">
        <f t="shared" si="7"/>
        <v>88.51344537815126</v>
      </c>
      <c r="L15" s="2">
        <f t="shared" si="8"/>
        <v>3.0491999437740436</v>
      </c>
    </row>
    <row r="16" spans="1:15" x14ac:dyDescent="0.25">
      <c r="A16" s="2">
        <v>6.0997673267326711</v>
      </c>
      <c r="B16" s="3">
        <v>24600</v>
      </c>
      <c r="C16" s="4">
        <v>13.66023281596452</v>
      </c>
      <c r="D16" s="8">
        <f t="shared" si="3"/>
        <v>3.7945091155456997E-6</v>
      </c>
      <c r="E16" s="9">
        <f t="shared" si="0"/>
        <v>-16.809950245242856</v>
      </c>
      <c r="F16" s="10">
        <f t="shared" si="4"/>
        <v>513.36020506579302</v>
      </c>
      <c r="G16" s="10">
        <f t="shared" si="1"/>
        <v>3.3411887177875834</v>
      </c>
      <c r="H16" s="12">
        <f t="shared" si="5"/>
        <v>3502480170709.8652</v>
      </c>
      <c r="I16" s="5">
        <f t="shared" si="2"/>
        <v>30511569307030.504</v>
      </c>
      <c r="J16" s="5">
        <f t="shared" si="6"/>
        <v>27009089136320.641</v>
      </c>
      <c r="K16" s="3">
        <f t="shared" si="7"/>
        <v>88.520812759693683</v>
      </c>
      <c r="L16" s="2">
        <f t="shared" si="8"/>
        <v>3.0511569307030504</v>
      </c>
    </row>
    <row r="17" spans="1:16" x14ac:dyDescent="0.25">
      <c r="A17" s="2">
        <v>6.2436237623762363</v>
      </c>
      <c r="B17" s="3">
        <v>25200</v>
      </c>
      <c r="C17" s="4">
        <v>13.649480519480518</v>
      </c>
      <c r="D17" s="8">
        <f t="shared" si="3"/>
        <v>3.7915223665223661E-6</v>
      </c>
      <c r="E17" s="9">
        <f t="shared" si="0"/>
        <v>-16.871461691511328</v>
      </c>
      <c r="F17" s="10">
        <f t="shared" si="4"/>
        <v>513.56236347396327</v>
      </c>
      <c r="G17" s="10">
        <f t="shared" si="1"/>
        <v>3.4011353796260018</v>
      </c>
      <c r="H17" s="12">
        <f t="shared" si="5"/>
        <v>3502480170709.8652</v>
      </c>
      <c r="I17" s="5">
        <f t="shared" si="2"/>
        <v>30535604612909.957</v>
      </c>
      <c r="J17" s="5">
        <f t="shared" si="6"/>
        <v>27033124442200.094</v>
      </c>
      <c r="K17" s="3">
        <f t="shared" si="7"/>
        <v>88.529848302957561</v>
      </c>
      <c r="L17" s="2">
        <f t="shared" si="8"/>
        <v>3.0535604612909957</v>
      </c>
    </row>
    <row r="18" spans="1:16" x14ac:dyDescent="0.25">
      <c r="A18" s="9"/>
      <c r="B18" s="7"/>
      <c r="C18" s="4"/>
      <c r="D18" s="13"/>
      <c r="E18" s="9" t="s">
        <v>1</v>
      </c>
      <c r="F18" s="10" t="s">
        <v>2</v>
      </c>
      <c r="G18" s="10" t="s">
        <v>3</v>
      </c>
      <c r="H18" s="9"/>
      <c r="I18" s="8"/>
      <c r="J18" s="9"/>
      <c r="O18" s="10"/>
      <c r="P18" s="10"/>
    </row>
    <row r="19" spans="1:16" x14ac:dyDescent="0.25">
      <c r="A19" s="9"/>
      <c r="C19" s="4"/>
      <c r="D19" s="1" t="s">
        <v>13</v>
      </c>
      <c r="E19" s="14">
        <f>SLOPE(E3:E17,$B3:$B17)</f>
        <v>-1.391615154402316E-4</v>
      </c>
      <c r="F19" s="10">
        <f>SLOPE(F3:F17,$B3:$B17)</f>
        <v>2.8141464013376762E-3</v>
      </c>
      <c r="G19" s="12">
        <f>SLOPE(G3:G17,$B3:$B17)</f>
        <v>1.1730080707681958E-4</v>
      </c>
      <c r="H19" s="9"/>
      <c r="I19" s="8"/>
      <c r="J19" s="9"/>
      <c r="M19" s="10"/>
    </row>
    <row r="20" spans="1:16" x14ac:dyDescent="0.25">
      <c r="B20" s="7"/>
      <c r="C20" s="9"/>
      <c r="D20" s="1" t="s">
        <v>14</v>
      </c>
      <c r="E20" s="9">
        <f>INTERCEPT(E3:E17,$B3:$B17)</f>
        <v>-13.508313874572897</v>
      </c>
      <c r="F20" s="9">
        <f>INTERCEPT(F3:F17,$B3:$B17)</f>
        <v>452.95079123044519</v>
      </c>
      <c r="G20" s="9">
        <f>INTERCEPT(G3:G17,$B3:$B17)</f>
        <v>0.50869503450016507</v>
      </c>
      <c r="H20" s="9"/>
      <c r="I20" s="8"/>
      <c r="J20" s="9"/>
    </row>
    <row r="21" spans="1:16" x14ac:dyDescent="0.25">
      <c r="B21" s="7"/>
      <c r="C21" s="9"/>
      <c r="D21" s="1" t="s">
        <v>5</v>
      </c>
      <c r="E21" s="10">
        <f>RSQ(E3:E17,$B3:$B17)</f>
        <v>0.98829016957601368</v>
      </c>
      <c r="F21" s="10">
        <f>RSQ(F3:F17,$B3:$B17)</f>
        <v>0.81935975681225648</v>
      </c>
      <c r="G21" s="10">
        <f>RSQ(G3:G17,$B3:$B17)</f>
        <v>0.99788765807541757</v>
      </c>
      <c r="H21" s="9"/>
      <c r="I21" s="8"/>
      <c r="J21" s="9"/>
      <c r="M21" s="10"/>
    </row>
    <row r="22" spans="1:16" x14ac:dyDescent="0.25">
      <c r="B22" s="7"/>
      <c r="C22" s="9"/>
      <c r="D22" s="1" t="s">
        <v>0</v>
      </c>
      <c r="E22" s="11">
        <v>132</v>
      </c>
      <c r="F22" s="8">
        <f>E22/1000/3600</f>
        <v>3.6666666666666666E-5</v>
      </c>
      <c r="H22" s="9"/>
      <c r="I22" s="8"/>
      <c r="J22" s="9"/>
      <c r="M22" s="10"/>
    </row>
    <row r="23" spans="1:16" x14ac:dyDescent="0.25">
      <c r="D23" s="1" t="s">
        <v>15</v>
      </c>
      <c r="E23" s="6">
        <v>13.48</v>
      </c>
      <c r="F23" s="8">
        <f>E23/1000/3600</f>
        <v>3.7444444444444445E-6</v>
      </c>
      <c r="H23" s="9"/>
      <c r="I23" s="8"/>
      <c r="J23" s="9"/>
      <c r="M23" s="10"/>
    </row>
    <row r="24" spans="1:16" x14ac:dyDescent="0.25">
      <c r="D24" s="1" t="s">
        <v>16</v>
      </c>
      <c r="E24" s="8">
        <f>-E19</f>
        <v>1.391615154402316E-4</v>
      </c>
      <c r="F24" s="8">
        <f>F19</f>
        <v>2.8141464013376762E-3</v>
      </c>
      <c r="G24" s="12">
        <f>G19/$F$23^2</f>
        <v>8366160.9886697829</v>
      </c>
      <c r="H24" s="9"/>
      <c r="I24" s="8"/>
      <c r="J24" s="9"/>
      <c r="M24" s="10"/>
    </row>
    <row r="25" spans="1:16" x14ac:dyDescent="0.25">
      <c r="H25" s="9"/>
      <c r="I25" s="8"/>
      <c r="J25" s="9"/>
      <c r="M25" s="10"/>
    </row>
    <row r="26" spans="1:16" x14ac:dyDescent="0.25">
      <c r="B26" s="7"/>
      <c r="C26" s="9"/>
      <c r="D26" s="13"/>
      <c r="E26" s="9"/>
      <c r="F26" s="10"/>
      <c r="G26" s="10"/>
      <c r="H26" s="9"/>
      <c r="I26" s="8"/>
      <c r="J26" s="9"/>
      <c r="M26" s="10"/>
    </row>
    <row r="27" spans="1:16" x14ac:dyDescent="0.25">
      <c r="H27" s="11"/>
      <c r="M27" s="10"/>
    </row>
    <row r="28" spans="1:16" x14ac:dyDescent="0.25">
      <c r="B28" s="7"/>
      <c r="C28" s="9"/>
      <c r="D28" s="13"/>
      <c r="E28" s="9"/>
      <c r="F28" s="10"/>
      <c r="G28" s="10"/>
      <c r="H28" s="11"/>
      <c r="M28" s="10"/>
    </row>
    <row r="29" spans="1:16" x14ac:dyDescent="0.25">
      <c r="H29" s="11"/>
      <c r="M29" s="10"/>
    </row>
    <row r="30" spans="1:16" x14ac:dyDescent="0.25">
      <c r="A30" s="9"/>
      <c r="B30" s="7"/>
      <c r="C30" s="9"/>
      <c r="D30" s="13"/>
      <c r="E30" s="9"/>
      <c r="F30" s="10"/>
      <c r="G30" s="10"/>
      <c r="H30" s="9"/>
      <c r="J30" s="10"/>
      <c r="K30" s="10"/>
      <c r="M30" s="10"/>
      <c r="N30" s="10"/>
      <c r="O30" s="10"/>
      <c r="P30" s="10"/>
    </row>
    <row r="31" spans="1:16" x14ac:dyDescent="0.25">
      <c r="A31" s="9"/>
      <c r="B31" s="7"/>
      <c r="C31" s="9"/>
      <c r="D31" s="13"/>
      <c r="E31" s="9"/>
      <c r="F31" s="10"/>
      <c r="G31" s="10"/>
      <c r="H31" s="9"/>
      <c r="J31" s="10"/>
      <c r="K31" s="10"/>
      <c r="M31" s="10"/>
      <c r="N31" s="10"/>
      <c r="O31" s="10"/>
      <c r="P31" s="10"/>
    </row>
    <row r="32" spans="1:16" x14ac:dyDescent="0.25">
      <c r="M32" s="10"/>
      <c r="N32" s="10"/>
      <c r="O32" s="10"/>
      <c r="P32" s="10"/>
    </row>
    <row r="33" spans="1:16" x14ac:dyDescent="0.25">
      <c r="A33" s="9"/>
      <c r="B33" s="7"/>
      <c r="C33" s="9"/>
      <c r="D33" s="13"/>
      <c r="E33" s="9"/>
      <c r="F33" s="10"/>
      <c r="G33" s="10"/>
      <c r="H33" s="9"/>
      <c r="J33" s="10"/>
      <c r="K33" s="10"/>
      <c r="M33" s="10"/>
      <c r="N33" s="10"/>
      <c r="O33" s="10"/>
      <c r="P33" s="10"/>
    </row>
    <row r="34" spans="1:16" x14ac:dyDescent="0.25">
      <c r="A34" s="9"/>
      <c r="B34" s="7"/>
      <c r="C34" s="9"/>
      <c r="D34" s="13"/>
      <c r="E34" s="9"/>
      <c r="F34" s="10"/>
      <c r="G34" s="10"/>
      <c r="H34" s="9"/>
      <c r="J34" s="10"/>
      <c r="K34" s="10"/>
      <c r="M34" s="10"/>
      <c r="N34" s="10"/>
      <c r="O34" s="10"/>
      <c r="P34" s="10"/>
    </row>
    <row r="35" spans="1:16" x14ac:dyDescent="0.25">
      <c r="A35" s="9"/>
      <c r="B35" s="7"/>
      <c r="C35" s="9"/>
      <c r="D35" s="13"/>
      <c r="E35" s="9"/>
      <c r="F35" s="10"/>
      <c r="G35" s="10"/>
      <c r="H35" s="9"/>
      <c r="J35" s="10"/>
      <c r="K35" s="10"/>
      <c r="M35" s="10"/>
      <c r="N35" s="10"/>
      <c r="O35" s="10"/>
      <c r="P35" s="10"/>
    </row>
    <row r="36" spans="1:16" x14ac:dyDescent="0.25">
      <c r="A36" s="9"/>
      <c r="B36" s="7"/>
      <c r="C36" s="9"/>
      <c r="D36" s="13"/>
      <c r="E36" s="9"/>
      <c r="F36" s="10"/>
      <c r="G36" s="10"/>
      <c r="H36" s="9"/>
      <c r="J36" s="10"/>
      <c r="K36" s="10"/>
      <c r="M36" s="10"/>
      <c r="N36" s="10"/>
      <c r="O36" s="10"/>
      <c r="P36" s="10"/>
    </row>
    <row r="37" spans="1:16" x14ac:dyDescent="0.25">
      <c r="A37" s="9"/>
      <c r="B37" s="7"/>
      <c r="C37" s="9"/>
      <c r="D37" s="13"/>
      <c r="E37" s="9"/>
      <c r="F37" s="10"/>
      <c r="G37" s="10"/>
      <c r="H37" s="9"/>
      <c r="J37" s="10"/>
      <c r="K37" s="10"/>
      <c r="M37" s="10"/>
      <c r="N37" s="10"/>
      <c r="O37" s="10"/>
      <c r="P37" s="10"/>
    </row>
    <row r="38" spans="1:16" x14ac:dyDescent="0.25">
      <c r="M38" s="10"/>
      <c r="N38" s="10"/>
      <c r="O38" s="10"/>
      <c r="P38" s="10"/>
    </row>
    <row r="39" spans="1:16" x14ac:dyDescent="0.25">
      <c r="M39" s="10"/>
      <c r="N39" s="10"/>
      <c r="O39" s="10"/>
      <c r="P39" s="10"/>
    </row>
    <row r="40" spans="1:16" x14ac:dyDescent="0.25">
      <c r="M40" s="10"/>
      <c r="N40" s="10"/>
      <c r="O40" s="10"/>
      <c r="P40" s="10"/>
    </row>
    <row r="41" spans="1:16" x14ac:dyDescent="0.25">
      <c r="M41" s="10"/>
      <c r="N41" s="10"/>
      <c r="O41" s="10"/>
      <c r="P41" s="10"/>
    </row>
    <row r="42" spans="1:16" x14ac:dyDescent="0.25">
      <c r="M42" s="10"/>
      <c r="N42" s="10"/>
      <c r="O42" s="10"/>
      <c r="P42" s="10"/>
    </row>
    <row r="43" spans="1:16" x14ac:dyDescent="0.25">
      <c r="M43" s="10"/>
      <c r="N43" s="10"/>
      <c r="O43" s="10"/>
      <c r="P43" s="10"/>
    </row>
    <row r="44" spans="1:16" x14ac:dyDescent="0.25">
      <c r="M44" s="10"/>
      <c r="N44" s="10"/>
      <c r="O44" s="10"/>
      <c r="P44" s="10"/>
    </row>
    <row r="45" spans="1:16" x14ac:dyDescent="0.25">
      <c r="M45" s="10"/>
      <c r="N45" s="10"/>
      <c r="O45" s="10"/>
      <c r="P45" s="10"/>
    </row>
    <row r="46" spans="1:16" x14ac:dyDescent="0.25">
      <c r="M46" s="10"/>
      <c r="N46" s="10"/>
      <c r="O46" s="10"/>
      <c r="P46" s="10"/>
    </row>
    <row r="47" spans="1:16" x14ac:dyDescent="0.25">
      <c r="M47" s="10"/>
      <c r="N47" s="10"/>
      <c r="O47" s="10"/>
      <c r="P47" s="10"/>
    </row>
    <row r="48" spans="1:16" x14ac:dyDescent="0.25">
      <c r="M48" s="10"/>
      <c r="N48" s="10"/>
      <c r="O48" s="10"/>
      <c r="P48" s="10"/>
    </row>
    <row r="49" spans="1:16" x14ac:dyDescent="0.25">
      <c r="M49" s="10"/>
      <c r="N49" s="10"/>
      <c r="O49" s="10"/>
      <c r="P49" s="10"/>
    </row>
    <row r="50" spans="1:16" x14ac:dyDescent="0.25">
      <c r="M50" s="10"/>
      <c r="N50" s="10"/>
      <c r="O50" s="10"/>
      <c r="P50" s="10"/>
    </row>
    <row r="51" spans="1:16" x14ac:dyDescent="0.25">
      <c r="M51" s="10"/>
      <c r="N51" s="10"/>
      <c r="O51" s="10"/>
      <c r="P51" s="10"/>
    </row>
    <row r="52" spans="1:16" x14ac:dyDescent="0.25">
      <c r="M52" s="10"/>
      <c r="N52" s="10"/>
      <c r="O52" s="10"/>
      <c r="P52" s="10"/>
    </row>
    <row r="53" spans="1:16" x14ac:dyDescent="0.25">
      <c r="M53" s="10"/>
      <c r="N53" s="10"/>
      <c r="O53" s="10"/>
      <c r="P53" s="10"/>
    </row>
    <row r="54" spans="1:16" x14ac:dyDescent="0.25">
      <c r="M54" s="10"/>
      <c r="N54" s="10"/>
      <c r="O54" s="10"/>
      <c r="P54" s="10"/>
    </row>
    <row r="55" spans="1:16" x14ac:dyDescent="0.25">
      <c r="M55" s="10"/>
      <c r="N55" s="10"/>
      <c r="O55" s="10"/>
      <c r="P55" s="10"/>
    </row>
    <row r="56" spans="1:16" x14ac:dyDescent="0.25">
      <c r="M56" s="10"/>
      <c r="N56" s="10"/>
      <c r="O56" s="10"/>
      <c r="P56" s="10"/>
    </row>
    <row r="57" spans="1:16" x14ac:dyDescent="0.25">
      <c r="A57" s="10"/>
      <c r="B57" s="7"/>
      <c r="C57" s="9"/>
      <c r="D57" s="13"/>
      <c r="E57" s="9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</row>
    <row r="58" spans="1:16" x14ac:dyDescent="0.25">
      <c r="A58" s="10"/>
      <c r="B58" s="7"/>
      <c r="C58" s="9"/>
      <c r="D58" s="13"/>
      <c r="E58" s="9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</row>
    <row r="59" spans="1:16" x14ac:dyDescent="0.25">
      <c r="A59" s="10"/>
      <c r="B59" s="7"/>
      <c r="C59" s="9"/>
      <c r="D59" s="13"/>
      <c r="E59" s="9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</row>
    <row r="60" spans="1:16" x14ac:dyDescent="0.25">
      <c r="A60" s="10"/>
      <c r="B60" s="7"/>
      <c r="C60" s="9"/>
      <c r="D60" s="13"/>
      <c r="E60" s="9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</row>
    <row r="61" spans="1:16" x14ac:dyDescent="0.25">
      <c r="A61" s="10"/>
      <c r="B61" s="7"/>
      <c r="C61" s="9"/>
      <c r="D61" s="13"/>
      <c r="E61" s="9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</row>
    <row r="62" spans="1:16" x14ac:dyDescent="0.25">
      <c r="A62" s="10"/>
      <c r="B62" s="7"/>
      <c r="C62" s="9"/>
      <c r="D62" s="13"/>
      <c r="E62" s="9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</row>
    <row r="63" spans="1:16" x14ac:dyDescent="0.25">
      <c r="A63" s="10"/>
      <c r="B63" s="7"/>
      <c r="C63" s="9"/>
      <c r="D63" s="13"/>
      <c r="E63" s="9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</row>
    <row r="64" spans="1:16" x14ac:dyDescent="0.25">
      <c r="A64" s="10"/>
      <c r="B64" s="7"/>
      <c r="C64" s="9"/>
      <c r="D64" s="13"/>
      <c r="E64" s="9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</row>
    <row r="65" spans="1:16" x14ac:dyDescent="0.25">
      <c r="A65" s="10"/>
      <c r="B65" s="7"/>
      <c r="C65" s="9"/>
      <c r="D65" s="13"/>
      <c r="E65" s="9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</row>
    <row r="66" spans="1:16" x14ac:dyDescent="0.25">
      <c r="A66" s="10"/>
      <c r="B66" s="7"/>
      <c r="C66" s="9"/>
      <c r="D66" s="13"/>
      <c r="E66" s="9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</row>
    <row r="67" spans="1:16" x14ac:dyDescent="0.25">
      <c r="A67" s="10"/>
      <c r="B67" s="7"/>
      <c r="C67" s="9"/>
      <c r="D67" s="13"/>
      <c r="E67" s="9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</row>
    <row r="68" spans="1:16" x14ac:dyDescent="0.25">
      <c r="A68" s="10"/>
      <c r="B68" s="7"/>
      <c r="C68" s="9"/>
      <c r="D68" s="13"/>
      <c r="E68" s="9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</row>
    <row r="69" spans="1:16" x14ac:dyDescent="0.25">
      <c r="A69" s="10"/>
      <c r="B69" s="7"/>
      <c r="C69" s="9"/>
      <c r="D69" s="13"/>
      <c r="E69" s="9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</row>
    <row r="70" spans="1:16" x14ac:dyDescent="0.25">
      <c r="A70" s="10"/>
      <c r="B70" s="7"/>
      <c r="C70" s="9"/>
      <c r="D70" s="13"/>
      <c r="E70" s="9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</row>
    <row r="71" spans="1:16" x14ac:dyDescent="0.25">
      <c r="A71" s="10"/>
      <c r="B71" s="7"/>
      <c r="C71" s="9"/>
      <c r="D71" s="13"/>
      <c r="E71" s="9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</row>
    <row r="72" spans="1:16" x14ac:dyDescent="0.25">
      <c r="A72" s="10"/>
      <c r="B72" s="7"/>
      <c r="C72" s="9"/>
      <c r="D72" s="13"/>
      <c r="E72" s="9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</row>
    <row r="73" spans="1:16" x14ac:dyDescent="0.25">
      <c r="A73" s="10"/>
      <c r="B73" s="7"/>
      <c r="C73" s="9"/>
      <c r="D73" s="13"/>
      <c r="E73" s="9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</row>
    <row r="74" spans="1:16" x14ac:dyDescent="0.25">
      <c r="A74" s="10"/>
      <c r="B74" s="7"/>
      <c r="C74" s="9"/>
      <c r="D74" s="13"/>
      <c r="E74" s="9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</row>
    <row r="75" spans="1:16" x14ac:dyDescent="0.25">
      <c r="A75" s="10"/>
      <c r="B75" s="7"/>
      <c r="C75" s="9"/>
      <c r="D75" s="13"/>
      <c r="E75" s="9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</row>
    <row r="76" spans="1:16" x14ac:dyDescent="0.25">
      <c r="A76" s="10"/>
      <c r="B76" s="7"/>
      <c r="C76" s="9"/>
      <c r="D76" s="13"/>
      <c r="E76" s="9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</row>
    <row r="77" spans="1:16" x14ac:dyDescent="0.25">
      <c r="A77" s="10"/>
      <c r="B77" s="7"/>
      <c r="C77" s="9"/>
      <c r="D77" s="13"/>
      <c r="E77" s="9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</row>
    <row r="78" spans="1:16" x14ac:dyDescent="0.25">
      <c r="A78" s="10"/>
      <c r="B78" s="7"/>
      <c r="C78" s="9"/>
      <c r="D78" s="13"/>
      <c r="E78" s="9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</row>
    <row r="79" spans="1:16" x14ac:dyDescent="0.25">
      <c r="A79" s="10"/>
      <c r="B79" s="7"/>
      <c r="C79" s="9"/>
      <c r="D79" s="13"/>
      <c r="E79" s="9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</row>
    <row r="80" spans="1:16" x14ac:dyDescent="0.25">
      <c r="A80" s="10"/>
      <c r="B80" s="7"/>
      <c r="C80" s="9"/>
      <c r="D80" s="13"/>
      <c r="E80" s="9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</row>
    <row r="81" spans="1:16" x14ac:dyDescent="0.25">
      <c r="A81" s="10"/>
      <c r="B81" s="7"/>
      <c r="C81" s="9"/>
      <c r="D81" s="13"/>
      <c r="E81" s="9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</row>
    <row r="82" spans="1:16" x14ac:dyDescent="0.25">
      <c r="A82" s="10"/>
      <c r="B82" s="7"/>
      <c r="C82" s="9"/>
      <c r="D82" s="13"/>
      <c r="E82" s="9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</row>
    <row r="83" spans="1:16" x14ac:dyDescent="0.25">
      <c r="A83" s="10"/>
      <c r="B83" s="7"/>
      <c r="C83" s="9"/>
      <c r="D83" s="13"/>
      <c r="E83" s="9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</row>
    <row r="84" spans="1:16" x14ac:dyDescent="0.25">
      <c r="A84" s="10"/>
      <c r="B84" s="7"/>
      <c r="C84" s="9"/>
      <c r="D84" s="13"/>
      <c r="E84" s="9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</row>
    <row r="85" spans="1:16" x14ac:dyDescent="0.25">
      <c r="A85" s="10"/>
      <c r="B85" s="7"/>
      <c r="C85" s="9"/>
      <c r="D85" s="13"/>
      <c r="E85" s="9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95F4A-BFF1-46F4-95C1-FB92E19938B1}">
  <dimension ref="A1:R52"/>
  <sheetViews>
    <sheetView zoomScale="80" zoomScaleNormal="80" workbookViewId="0">
      <selection activeCell="G18" sqref="G18"/>
    </sheetView>
  </sheetViews>
  <sheetFormatPr baseColWidth="10" defaultRowHeight="15" x14ac:dyDescent="0.25"/>
  <cols>
    <col min="1" max="1" width="6.7109375" bestFit="1" customWidth="1"/>
    <col min="2" max="2" width="11.5703125" customWidth="1"/>
    <col min="3" max="3" width="25.5703125" bestFit="1" customWidth="1"/>
    <col min="4" max="4" width="13.28515625" bestFit="1" customWidth="1"/>
    <col min="14" max="14" width="14.42578125" style="6" bestFit="1" customWidth="1"/>
    <col min="15" max="15" width="14.5703125" style="6" bestFit="1" customWidth="1"/>
    <col min="16" max="18" width="11.42578125" style="6"/>
  </cols>
  <sheetData>
    <row r="1" spans="1:15" ht="23.25" x14ac:dyDescent="0.35">
      <c r="A1" s="15" t="s">
        <v>21</v>
      </c>
    </row>
    <row r="2" spans="1:15" x14ac:dyDescent="0.25">
      <c r="C2" t="s">
        <v>22</v>
      </c>
      <c r="D2" s="9">
        <v>0.17999999999999997</v>
      </c>
      <c r="E2" s="9">
        <v>0.84204999999999974</v>
      </c>
      <c r="F2" s="9">
        <v>1.38605</v>
      </c>
      <c r="G2" s="9">
        <v>1.85687</v>
      </c>
      <c r="H2" s="9">
        <v>2.3247600000000004</v>
      </c>
      <c r="I2" s="9">
        <v>2.7862500000000012</v>
      </c>
      <c r="J2" s="9">
        <v>3.2390699999999999</v>
      </c>
      <c r="K2" s="9">
        <v>3.6997200000000001</v>
      </c>
      <c r="L2" s="9">
        <v>4.1817899999999995</v>
      </c>
      <c r="M2" s="9">
        <v>6.1705200000000007</v>
      </c>
    </row>
    <row r="3" spans="1:15" x14ac:dyDescent="0.25">
      <c r="C3" t="s">
        <v>6</v>
      </c>
      <c r="D3" s="11">
        <v>16.363636363636363</v>
      </c>
      <c r="E3" s="11">
        <v>10.935714285714282</v>
      </c>
      <c r="F3" s="11">
        <v>9.618667591950036</v>
      </c>
      <c r="G3" s="11">
        <v>8.8845454545454565</v>
      </c>
      <c r="H3" s="11">
        <v>8.4536727272727283</v>
      </c>
      <c r="I3" s="11">
        <v>8.1708211143695042</v>
      </c>
      <c r="J3" s="11">
        <v>7.9584029484029486</v>
      </c>
      <c r="K3" s="11">
        <v>7.8218181818181822</v>
      </c>
      <c r="L3" s="11">
        <v>7.7331718322361116</v>
      </c>
      <c r="M3" s="11">
        <v>7.6494049586776871</v>
      </c>
    </row>
    <row r="4" spans="1:15" x14ac:dyDescent="0.25">
      <c r="C4" t="s">
        <v>8</v>
      </c>
      <c r="D4" s="12">
        <f>D3/1000/3600</f>
        <v>4.5454545454545455E-6</v>
      </c>
      <c r="E4" s="12">
        <f t="shared" ref="E4:M4" si="0">E3/1000/3600</f>
        <v>3.0376984126984116E-6</v>
      </c>
      <c r="F4" s="12">
        <f t="shared" si="0"/>
        <v>2.6718521088750101E-6</v>
      </c>
      <c r="G4" s="12">
        <f t="shared" si="0"/>
        <v>2.4679292929292931E-6</v>
      </c>
      <c r="H4" s="12">
        <f t="shared" si="0"/>
        <v>2.3482424242424246E-6</v>
      </c>
      <c r="I4" s="12">
        <f t="shared" si="0"/>
        <v>2.2696725317693067E-6</v>
      </c>
      <c r="J4" s="12">
        <f t="shared" si="0"/>
        <v>2.2106674856674856E-6</v>
      </c>
      <c r="K4" s="12">
        <f t="shared" si="0"/>
        <v>2.1727272727272724E-6</v>
      </c>
      <c r="L4" s="12">
        <f t="shared" si="0"/>
        <v>2.1481032867322533E-6</v>
      </c>
      <c r="M4" s="12">
        <f t="shared" si="0"/>
        <v>2.124834710743802E-6</v>
      </c>
    </row>
    <row r="5" spans="1:15" x14ac:dyDescent="0.25">
      <c r="C5" t="s">
        <v>23</v>
      </c>
      <c r="D5" s="12">
        <f>119/1000/3600</f>
        <v>3.3055555555555553E-5</v>
      </c>
      <c r="E5" s="12">
        <f t="shared" ref="E5:M5" si="1">119/1000/3600</f>
        <v>3.3055555555555553E-5</v>
      </c>
      <c r="F5" s="12">
        <f t="shared" si="1"/>
        <v>3.3055555555555553E-5</v>
      </c>
      <c r="G5" s="12">
        <f t="shared" si="1"/>
        <v>3.3055555555555553E-5</v>
      </c>
      <c r="H5" s="12">
        <f t="shared" si="1"/>
        <v>3.3055555555555553E-5</v>
      </c>
      <c r="I5" s="12">
        <f t="shared" si="1"/>
        <v>3.3055555555555553E-5</v>
      </c>
      <c r="J5" s="12">
        <f t="shared" si="1"/>
        <v>3.3055555555555553E-5</v>
      </c>
      <c r="K5" s="12">
        <f t="shared" si="1"/>
        <v>3.3055555555555553E-5</v>
      </c>
      <c r="L5" s="12">
        <f t="shared" si="1"/>
        <v>3.3055555555555553E-5</v>
      </c>
      <c r="M5" s="12">
        <f t="shared" si="1"/>
        <v>3.3055555555555553E-5</v>
      </c>
    </row>
    <row r="6" spans="1:15" x14ac:dyDescent="0.25">
      <c r="C6" t="s">
        <v>24</v>
      </c>
      <c r="D6" s="12">
        <f>7.42/1000/3600</f>
        <v>2.061111111111111E-6</v>
      </c>
      <c r="E6" s="12">
        <f t="shared" ref="E6:M6" si="2">7.42/1000/3600</f>
        <v>2.061111111111111E-6</v>
      </c>
      <c r="F6" s="12">
        <f t="shared" si="2"/>
        <v>2.061111111111111E-6</v>
      </c>
      <c r="G6" s="12">
        <f t="shared" si="2"/>
        <v>2.061111111111111E-6</v>
      </c>
      <c r="H6" s="12">
        <f t="shared" si="2"/>
        <v>2.061111111111111E-6</v>
      </c>
      <c r="I6" s="12">
        <f t="shared" si="2"/>
        <v>2.061111111111111E-6</v>
      </c>
      <c r="J6" s="12">
        <f t="shared" si="2"/>
        <v>2.061111111111111E-6</v>
      </c>
      <c r="K6" s="12">
        <f t="shared" si="2"/>
        <v>2.061111111111111E-6</v>
      </c>
      <c r="L6" s="12">
        <f t="shared" si="2"/>
        <v>2.061111111111111E-6</v>
      </c>
      <c r="M6" s="12">
        <f t="shared" si="2"/>
        <v>2.061111111111111E-6</v>
      </c>
    </row>
    <row r="7" spans="1:15" x14ac:dyDescent="0.25">
      <c r="B7" s="6" t="s">
        <v>25</v>
      </c>
      <c r="D7" s="8"/>
      <c r="E7" s="8"/>
      <c r="F7" s="8"/>
      <c r="G7" s="8"/>
      <c r="H7" s="8"/>
      <c r="I7" s="8"/>
      <c r="J7" s="8"/>
      <c r="K7" s="8"/>
      <c r="L7" s="8"/>
      <c r="M7" s="8"/>
    </row>
    <row r="8" spans="1:15" x14ac:dyDescent="0.25">
      <c r="A8" s="6" t="s">
        <v>26</v>
      </c>
      <c r="B8" s="16">
        <f>'Fractionation (50kDa)'!B4</f>
        <v>5.17</v>
      </c>
      <c r="C8" s="17" t="s">
        <v>27</v>
      </c>
      <c r="D8" s="10">
        <v>2.3852190789786234</v>
      </c>
      <c r="E8" s="10">
        <v>1.3704944137533754</v>
      </c>
      <c r="F8" s="10">
        <v>0.96667160543838593</v>
      </c>
      <c r="G8" s="10">
        <v>0.66722819837426317</v>
      </c>
      <c r="H8" s="10">
        <v>0.54732773995498618</v>
      </c>
      <c r="I8" s="10">
        <v>0.39941140232478511</v>
      </c>
      <c r="J8" s="10">
        <v>0.27594161272118389</v>
      </c>
      <c r="K8" s="10">
        <v>0.27014955002992819</v>
      </c>
      <c r="L8" s="10">
        <v>0.18443123308686499</v>
      </c>
      <c r="M8" s="10">
        <v>0.11599799412512382</v>
      </c>
    </row>
    <row r="9" spans="1:15" x14ac:dyDescent="0.25">
      <c r="A9" s="6" t="s">
        <v>26</v>
      </c>
      <c r="B9" s="16"/>
      <c r="C9" t="s">
        <v>28</v>
      </c>
      <c r="D9" s="10">
        <f t="shared" ref="D9:M9" si="3">D8/$B$8</f>
        <v>0.46135765550843783</v>
      </c>
      <c r="E9" s="10">
        <f t="shared" si="3"/>
        <v>0.26508596010703589</v>
      </c>
      <c r="F9" s="10">
        <f t="shared" si="3"/>
        <v>0.18697709969794699</v>
      </c>
      <c r="G9" s="10">
        <f t="shared" si="3"/>
        <v>0.12905767860237199</v>
      </c>
      <c r="H9" s="10">
        <f t="shared" si="3"/>
        <v>0.10586610057156406</v>
      </c>
      <c r="I9" s="10">
        <f t="shared" si="3"/>
        <v>7.7255590391641218E-2</v>
      </c>
      <c r="J9" s="10">
        <f t="shared" si="3"/>
        <v>5.3373619481853748E-2</v>
      </c>
      <c r="K9" s="10">
        <f t="shared" si="3"/>
        <v>5.2253297878129247E-2</v>
      </c>
      <c r="L9" s="10">
        <f t="shared" si="3"/>
        <v>3.5673352628020308E-2</v>
      </c>
      <c r="M9" s="10">
        <f t="shared" si="3"/>
        <v>2.2436749347219308E-2</v>
      </c>
    </row>
    <row r="10" spans="1:15" x14ac:dyDescent="0.25">
      <c r="A10" s="6" t="s">
        <v>26</v>
      </c>
      <c r="B10" s="16"/>
      <c r="C10" t="s">
        <v>29</v>
      </c>
      <c r="D10" s="10">
        <f t="shared" ref="D10:M10" si="4">100*(1-D9)</f>
        <v>53.864234449156221</v>
      </c>
      <c r="E10" s="10">
        <f t="shared" si="4"/>
        <v>73.491403989296415</v>
      </c>
      <c r="F10" s="10">
        <f t="shared" si="4"/>
        <v>81.302290030205299</v>
      </c>
      <c r="G10" s="10">
        <f t="shared" si="4"/>
        <v>87.094232139762795</v>
      </c>
      <c r="H10" s="10">
        <f t="shared" si="4"/>
        <v>89.413389942843594</v>
      </c>
      <c r="I10" s="10">
        <f t="shared" si="4"/>
        <v>92.274440960835875</v>
      </c>
      <c r="J10" s="10">
        <f t="shared" si="4"/>
        <v>94.662638051814625</v>
      </c>
      <c r="K10" s="10">
        <f t="shared" si="4"/>
        <v>94.774670212187075</v>
      </c>
      <c r="L10" s="10">
        <f t="shared" si="4"/>
        <v>96.432664737197967</v>
      </c>
      <c r="M10" s="10">
        <f t="shared" si="4"/>
        <v>97.756325065278077</v>
      </c>
    </row>
    <row r="11" spans="1:15" x14ac:dyDescent="0.25">
      <c r="A11" s="18" t="s">
        <v>30</v>
      </c>
      <c r="B11" s="16">
        <f>'Fractionation (50kDa)'!B9</f>
        <v>0.32399999999999995</v>
      </c>
      <c r="C11" s="17" t="s">
        <v>27</v>
      </c>
      <c r="D11" s="10">
        <v>0.30473715299501147</v>
      </c>
      <c r="E11" s="10">
        <v>0.17162869921496174</v>
      </c>
      <c r="F11" s="10">
        <v>0.12227507041682663</v>
      </c>
      <c r="G11" s="10">
        <v>8.0424524808326792E-2</v>
      </c>
      <c r="H11" s="10">
        <v>5.4300556917517687E-2</v>
      </c>
      <c r="I11" s="10">
        <v>3.7615383553453244E-2</v>
      </c>
      <c r="J11" s="10">
        <v>2.4107688385963482E-2</v>
      </c>
      <c r="K11" s="10">
        <v>2.0241669389108135E-2</v>
      </c>
      <c r="L11" s="10">
        <v>1.5989477420889804E-2</v>
      </c>
      <c r="M11" s="10">
        <v>9.5957300730921766E-3</v>
      </c>
    </row>
    <row r="12" spans="1:15" x14ac:dyDescent="0.25">
      <c r="A12" s="18" t="s">
        <v>30</v>
      </c>
      <c r="B12" s="16"/>
      <c r="C12" s="17" t="s">
        <v>31</v>
      </c>
      <c r="D12" s="10">
        <v>0.47393025349146417</v>
      </c>
      <c r="E12" s="10">
        <v>0.26991866129854097</v>
      </c>
      <c r="F12" s="10">
        <v>0.19016340655805075</v>
      </c>
      <c r="G12" s="10">
        <v>0.128677021474847</v>
      </c>
      <c r="H12" s="10">
        <v>8.3448766590229706E-2</v>
      </c>
      <c r="I12" s="10">
        <v>5.8499818901171452E-2</v>
      </c>
      <c r="J12" s="10">
        <v>3.7491251692995803E-2</v>
      </c>
      <c r="K12" s="10">
        <v>3.1780045706233502E-2</v>
      </c>
      <c r="L12" s="10">
        <v>2.4806994433732198E-2</v>
      </c>
      <c r="M12" s="10">
        <v>1.50233749192724E-2</v>
      </c>
    </row>
    <row r="13" spans="1:15" x14ac:dyDescent="0.25">
      <c r="A13" s="18" t="s">
        <v>30</v>
      </c>
      <c r="B13" s="16"/>
      <c r="C13" s="17" t="s">
        <v>32</v>
      </c>
      <c r="D13" s="10">
        <f>D11/D12</f>
        <v>0.64300000000000002</v>
      </c>
      <c r="E13" s="10">
        <f t="shared" ref="E13:M13" si="5">E11/E12</f>
        <v>0.63585340261129053</v>
      </c>
      <c r="F13" s="10">
        <f t="shared" si="5"/>
        <v>0.64300000000000002</v>
      </c>
      <c r="G13" s="10">
        <f t="shared" si="5"/>
        <v>0.62501077415789963</v>
      </c>
      <c r="H13" s="10">
        <f t="shared" si="5"/>
        <v>0.65070532658867686</v>
      </c>
      <c r="I13" s="10">
        <f t="shared" si="5"/>
        <v>0.64300000000000002</v>
      </c>
      <c r="J13" s="10">
        <f t="shared" si="5"/>
        <v>0.64302169965873224</v>
      </c>
      <c r="K13" s="10">
        <f t="shared" si="5"/>
        <v>0.63693015347482118</v>
      </c>
      <c r="L13" s="10">
        <f t="shared" si="5"/>
        <v>0.64455520654076259</v>
      </c>
      <c r="M13" s="10">
        <f t="shared" si="5"/>
        <v>0.63872000297233544</v>
      </c>
      <c r="N13" s="9">
        <f>AVERAGE(D13:M13)</f>
        <v>0.64037965660045182</v>
      </c>
      <c r="O13" s="9">
        <f>STDEV(D13:M13)</f>
        <v>6.8554658875048064E-3</v>
      </c>
    </row>
    <row r="14" spans="1:15" x14ac:dyDescent="0.25">
      <c r="A14" s="18" t="s">
        <v>30</v>
      </c>
      <c r="C14" t="s">
        <v>28</v>
      </c>
      <c r="D14" s="10">
        <f t="shared" ref="D14:M14" si="6">D11/$B$11</f>
        <v>0.94054676850312191</v>
      </c>
      <c r="E14" s="10">
        <f t="shared" si="6"/>
        <v>0.52971820745358567</v>
      </c>
      <c r="F14" s="10">
        <f t="shared" si="6"/>
        <v>0.37739219264452667</v>
      </c>
      <c r="G14" s="10">
        <f t="shared" si="6"/>
        <v>0.24822384200100864</v>
      </c>
      <c r="H14" s="10">
        <f t="shared" si="6"/>
        <v>0.16759431147382003</v>
      </c>
      <c r="I14" s="10">
        <f t="shared" si="6"/>
        <v>0.11609686281930015</v>
      </c>
      <c r="J14" s="10">
        <f t="shared" si="6"/>
        <v>7.4406445635689766E-2</v>
      </c>
      <c r="K14" s="10">
        <f t="shared" si="6"/>
        <v>6.2474288237988077E-2</v>
      </c>
      <c r="L14" s="10">
        <f t="shared" si="6"/>
        <v>4.9350238953363601E-2</v>
      </c>
      <c r="M14" s="10">
        <f t="shared" si="6"/>
        <v>2.9616450842877094E-2</v>
      </c>
      <c r="O14" s="9"/>
    </row>
    <row r="15" spans="1:15" x14ac:dyDescent="0.25">
      <c r="A15" s="6" t="s">
        <v>33</v>
      </c>
      <c r="B15" s="16">
        <v>0.09</v>
      </c>
      <c r="C15" s="17" t="s">
        <v>27</v>
      </c>
      <c r="D15" s="10">
        <v>8.9775248299881372E-2</v>
      </c>
      <c r="E15" s="10">
        <v>5.4329164836439889E-2</v>
      </c>
      <c r="F15" s="10">
        <v>3.0562203718425794E-2</v>
      </c>
      <c r="G15" s="10">
        <v>2.3422387440255987E-2</v>
      </c>
      <c r="H15" s="10">
        <v>1.5573676483057467E-2</v>
      </c>
      <c r="I15" s="10">
        <v>1.1270915427903301E-2</v>
      </c>
      <c r="J15" s="10">
        <v>7.2021099513122503E-3</v>
      </c>
      <c r="K15" s="10">
        <v>5.2099731793413991E-3</v>
      </c>
      <c r="L15" s="10">
        <v>3.2538635582668764E-3</v>
      </c>
      <c r="M15" s="10">
        <v>3.3738441265180256E-3</v>
      </c>
      <c r="O15" s="9"/>
    </row>
    <row r="16" spans="1:15" x14ac:dyDescent="0.25">
      <c r="A16" s="6" t="s">
        <v>33</v>
      </c>
      <c r="B16" s="16"/>
      <c r="C16" s="17" t="s">
        <v>31</v>
      </c>
      <c r="D16" s="10">
        <v>0.13961935971987771</v>
      </c>
      <c r="E16" s="10">
        <v>8.4493257910481942E-2</v>
      </c>
      <c r="F16" s="10">
        <v>4.7530643419013675E-2</v>
      </c>
      <c r="G16" s="10">
        <v>3.6426730078158609E-2</v>
      </c>
      <c r="H16" s="10">
        <v>2.4220336676605704E-2</v>
      </c>
      <c r="I16" s="10">
        <v>1.7528639856770296E-2</v>
      </c>
      <c r="J16" s="10">
        <v>1.1200793081356531E-2</v>
      </c>
      <c r="K16" s="10">
        <v>8.1026021451654721E-3</v>
      </c>
      <c r="L16" s="10">
        <v>5.060440992638999E-3</v>
      </c>
      <c r="M16" s="10">
        <v>5.2470359665910196E-3</v>
      </c>
      <c r="O16" s="9"/>
    </row>
    <row r="17" spans="1:15" x14ac:dyDescent="0.25">
      <c r="A17" s="6" t="s">
        <v>34</v>
      </c>
      <c r="B17" s="16">
        <v>0.29599999999999999</v>
      </c>
      <c r="C17" s="17" t="s">
        <v>27</v>
      </c>
      <c r="D17" s="10">
        <v>0.29511482296761504</v>
      </c>
      <c r="E17" s="10">
        <v>0.1892729747013624</v>
      </c>
      <c r="F17" s="10">
        <v>0.12571429869196599</v>
      </c>
      <c r="G17" s="10">
        <v>7.7070670919062584E-2</v>
      </c>
      <c r="H17" s="10">
        <v>5.2433648271212427E-2</v>
      </c>
      <c r="I17" s="10">
        <v>4.3879882310278853E-2</v>
      </c>
      <c r="J17" s="10">
        <v>3.2046147204254423E-2</v>
      </c>
      <c r="K17" s="10">
        <v>1.5811788622943499E-2</v>
      </c>
      <c r="L17" s="10">
        <v>1.4268260521191329E-2</v>
      </c>
      <c r="M17" s="10">
        <v>5.00275338628141E-3</v>
      </c>
      <c r="O17" s="9"/>
    </row>
    <row r="18" spans="1:15" x14ac:dyDescent="0.25">
      <c r="A18" s="6" t="s">
        <v>34</v>
      </c>
      <c r="B18" s="16"/>
      <c r="C18" s="17" t="s">
        <v>31</v>
      </c>
      <c r="D18" s="10">
        <v>0.45193694175745025</v>
      </c>
      <c r="E18" s="10">
        <v>0.29666610454758996</v>
      </c>
      <c r="F18" s="10">
        <v>0.19370462048068718</v>
      </c>
      <c r="G18" s="10">
        <v>0.11893622055410892</v>
      </c>
      <c r="H18" s="10">
        <v>8.2184401679016347E-2</v>
      </c>
      <c r="I18" s="10">
        <v>6.8030825287254029E-2</v>
      </c>
      <c r="J18" s="10">
        <v>5.0229070853063357E-2</v>
      </c>
      <c r="K18" s="10">
        <v>2.4590651046568428E-2</v>
      </c>
      <c r="L18" s="10">
        <v>2.2121334141381906E-2</v>
      </c>
      <c r="M18" s="10">
        <v>7.7322308906976967E-3</v>
      </c>
      <c r="O18" s="9"/>
    </row>
    <row r="19" spans="1:15" x14ac:dyDescent="0.25">
      <c r="A19" s="6" t="s">
        <v>35</v>
      </c>
      <c r="B19" s="16">
        <v>0.188</v>
      </c>
      <c r="C19" s="17" t="s">
        <v>27</v>
      </c>
      <c r="D19" s="10">
        <v>0.18665199103792326</v>
      </c>
      <c r="E19" s="10">
        <v>0.10391516931538147</v>
      </c>
      <c r="F19" s="10">
        <v>4.9921682402742258E-2</v>
      </c>
      <c r="G19" s="10">
        <v>4.8926764875201374E-2</v>
      </c>
      <c r="H19" s="10">
        <v>3.2531679764608919E-2</v>
      </c>
      <c r="I19" s="10">
        <v>2.3543690004953564E-2</v>
      </c>
      <c r="J19" s="10">
        <v>1.5044407453852252E-2</v>
      </c>
      <c r="K19" s="10">
        <v>1.6108528629240712E-2</v>
      </c>
      <c r="L19" s="10">
        <v>1.2022432976329491E-2</v>
      </c>
      <c r="M19" s="10">
        <v>9.8314585816537559E-3</v>
      </c>
      <c r="O19" s="9"/>
    </row>
    <row r="20" spans="1:15" x14ac:dyDescent="0.25">
      <c r="A20" s="6" t="s">
        <v>35</v>
      </c>
      <c r="B20" s="16"/>
      <c r="C20" s="17" t="s">
        <v>31</v>
      </c>
      <c r="D20" s="10">
        <v>0.29118875356930307</v>
      </c>
      <c r="E20" s="10">
        <v>0.16211414869794302</v>
      </c>
      <c r="F20" s="10">
        <v>7.7880939785869352E-2</v>
      </c>
      <c r="G20" s="10">
        <v>7.6328806357568446E-2</v>
      </c>
      <c r="H20" s="10">
        <v>5.0751450490809542E-2</v>
      </c>
      <c r="I20" s="10">
        <v>3.6729625592751267E-2</v>
      </c>
      <c r="J20" s="10">
        <v>2.3470214436586975E-2</v>
      </c>
      <c r="K20" s="10">
        <v>2.5130309874010472E-2</v>
      </c>
      <c r="L20" s="10">
        <v>1.875574567290092E-2</v>
      </c>
      <c r="M20" s="10">
        <v>1.5337688894935657E-2</v>
      </c>
      <c r="O20" s="9"/>
    </row>
    <row r="21" spans="1:15" x14ac:dyDescent="0.25">
      <c r="A21" s="6" t="s">
        <v>36</v>
      </c>
      <c r="B21" s="16">
        <v>0.124</v>
      </c>
      <c r="C21" s="17" t="s">
        <v>27</v>
      </c>
      <c r="D21" s="10">
        <v>0.12071753546747775</v>
      </c>
      <c r="E21" s="10">
        <v>5.7719082624652605E-2</v>
      </c>
      <c r="F21" s="10">
        <v>3.726282585985357E-2</v>
      </c>
      <c r="G21" s="10">
        <v>2.6932217551493845E-2</v>
      </c>
      <c r="H21" s="10">
        <v>1.7943158299894568E-2</v>
      </c>
      <c r="I21" s="10">
        <v>1.2585914710697357E-2</v>
      </c>
      <c r="J21" s="10">
        <v>8.0935889664531541E-3</v>
      </c>
      <c r="K21" s="10">
        <v>4.8390243902439022E-3</v>
      </c>
      <c r="L21" s="10">
        <v>4.9376810847942404E-3</v>
      </c>
      <c r="M21" s="10">
        <v>3.2260162601626015E-3</v>
      </c>
      <c r="O21" s="9"/>
    </row>
    <row r="22" spans="1:15" x14ac:dyDescent="0.25">
      <c r="A22" s="6" t="s">
        <v>36</v>
      </c>
      <c r="B22" s="16"/>
      <c r="C22" s="17" t="s">
        <v>31</v>
      </c>
      <c r="D22" s="10">
        <v>0.18921243803679899</v>
      </c>
      <c r="E22" s="10">
        <v>9.0468781543342647E-2</v>
      </c>
      <c r="F22" s="10">
        <v>5.8405683165914685E-2</v>
      </c>
      <c r="G22" s="10">
        <v>3.2213507134002901E-2</v>
      </c>
      <c r="H22" s="10">
        <v>2.8124072570367663E-2</v>
      </c>
      <c r="I22" s="10">
        <v>1.9127139044980201E-2</v>
      </c>
      <c r="J22" s="10">
        <v>1.2685876122967326E-2</v>
      </c>
      <c r="K22" s="10">
        <v>7.6846777276550196E-3</v>
      </c>
      <c r="L22" s="10">
        <v>7.7393120451320378E-3</v>
      </c>
      <c r="M22" s="10">
        <v>5.0564518184366795E-3</v>
      </c>
      <c r="O22" s="9"/>
    </row>
    <row r="23" spans="1:15" x14ac:dyDescent="0.25">
      <c r="A23" s="18" t="s">
        <v>37</v>
      </c>
      <c r="B23" s="16">
        <f>B15+B17+B19+B21</f>
        <v>0.69800000000000006</v>
      </c>
      <c r="C23" t="s">
        <v>27</v>
      </c>
      <c r="D23" s="10">
        <f>D15+D17+D19+D21</f>
        <v>0.69225959777289747</v>
      </c>
      <c r="E23" s="10">
        <f t="shared" ref="E23:M23" si="7">E15+E17+E19+E21</f>
        <v>0.40523639147783636</v>
      </c>
      <c r="F23" s="10">
        <f t="shared" si="7"/>
        <v>0.24346101067298762</v>
      </c>
      <c r="G23" s="10">
        <f t="shared" si="7"/>
        <v>0.1763520407860138</v>
      </c>
      <c r="H23" s="10">
        <f t="shared" si="7"/>
        <v>0.11848216281877338</v>
      </c>
      <c r="I23" s="10">
        <f t="shared" si="7"/>
        <v>9.1280402453833079E-2</v>
      </c>
      <c r="J23" s="10">
        <f t="shared" si="7"/>
        <v>6.2386253575872075E-2</v>
      </c>
      <c r="K23" s="10">
        <f t="shared" si="7"/>
        <v>4.1969314821769514E-2</v>
      </c>
      <c r="L23" s="10">
        <f t="shared" si="7"/>
        <v>3.4482238140581933E-2</v>
      </c>
      <c r="M23" s="10">
        <f t="shared" si="7"/>
        <v>2.1434072354615794E-2</v>
      </c>
      <c r="O23" s="9"/>
    </row>
    <row r="24" spans="1:15" x14ac:dyDescent="0.25">
      <c r="A24" s="18" t="s">
        <v>37</v>
      </c>
      <c r="B24" s="16"/>
      <c r="C24" t="s">
        <v>31</v>
      </c>
      <c r="D24" s="10">
        <f t="shared" ref="D24:M24" si="8">D16+D18+D20+D22</f>
        <v>1.0719574930834299</v>
      </c>
      <c r="E24" s="10">
        <f t="shared" si="8"/>
        <v>0.63374229269935767</v>
      </c>
      <c r="F24" s="10">
        <f t="shared" si="8"/>
        <v>0.37752188685148491</v>
      </c>
      <c r="G24" s="10">
        <f t="shared" si="8"/>
        <v>0.26390526412383886</v>
      </c>
      <c r="H24" s="10">
        <f t="shared" si="8"/>
        <v>0.18528026141679926</v>
      </c>
      <c r="I24" s="10">
        <f t="shared" si="8"/>
        <v>0.14141622978175578</v>
      </c>
      <c r="J24" s="10">
        <f t="shared" si="8"/>
        <v>9.7585954493974197E-2</v>
      </c>
      <c r="K24" s="10">
        <f t="shared" si="8"/>
        <v>6.5508240793399383E-2</v>
      </c>
      <c r="L24" s="10">
        <f t="shared" si="8"/>
        <v>5.3676832852053859E-2</v>
      </c>
      <c r="M24" s="10">
        <f t="shared" si="8"/>
        <v>3.3373407570661054E-2</v>
      </c>
      <c r="O24" s="9"/>
    </row>
    <row r="25" spans="1:15" x14ac:dyDescent="0.25">
      <c r="A25" s="18" t="s">
        <v>37</v>
      </c>
      <c r="C25" t="s">
        <v>32</v>
      </c>
      <c r="D25" s="10">
        <f>D23/D24</f>
        <v>0.64579015701606668</v>
      </c>
      <c r="E25" s="10">
        <f t="shared" ref="E25:M25" si="9">E23/E24</f>
        <v>0.63943403516873587</v>
      </c>
      <c r="F25" s="10">
        <f t="shared" si="9"/>
        <v>0.64489243975611898</v>
      </c>
      <c r="G25" s="10">
        <f t="shared" si="9"/>
        <v>0.66823995107297185</v>
      </c>
      <c r="H25" s="10">
        <f t="shared" si="9"/>
        <v>0.6394753651185785</v>
      </c>
      <c r="I25" s="10">
        <f t="shared" si="9"/>
        <v>0.64547331373990036</v>
      </c>
      <c r="J25" s="10">
        <f t="shared" si="9"/>
        <v>0.63929541806884049</v>
      </c>
      <c r="K25" s="10">
        <f t="shared" si="9"/>
        <v>0.64067229272928894</v>
      </c>
      <c r="L25" s="10">
        <f t="shared" si="9"/>
        <v>0.64240448454966037</v>
      </c>
      <c r="M25" s="10">
        <f t="shared" si="9"/>
        <v>0.6422500402224055</v>
      </c>
      <c r="N25" s="9">
        <f>AVERAGE(D25:M25)</f>
        <v>0.64479274974425671</v>
      </c>
      <c r="O25" s="9">
        <f>STDEV(D25:M25)</f>
        <v>8.6126365942340473E-3</v>
      </c>
    </row>
    <row r="26" spans="1:15" x14ac:dyDescent="0.25">
      <c r="A26" s="18" t="s">
        <v>37</v>
      </c>
      <c r="B26" s="16"/>
      <c r="C26" t="s">
        <v>28</v>
      </c>
      <c r="D26" s="10">
        <f t="shared" ref="D26:L26" si="10">D23/$B$23</f>
        <v>0.99177592804140025</v>
      </c>
      <c r="E26" s="10">
        <f t="shared" si="10"/>
        <v>0.58056789610005199</v>
      </c>
      <c r="F26" s="10">
        <f t="shared" si="10"/>
        <v>0.34879800956015417</v>
      </c>
      <c r="G26" s="10">
        <f t="shared" si="10"/>
        <v>0.25265335356162433</v>
      </c>
      <c r="H26" s="10">
        <f t="shared" si="10"/>
        <v>0.16974521893807074</v>
      </c>
      <c r="I26" s="10">
        <f t="shared" si="10"/>
        <v>0.13077421554990412</v>
      </c>
      <c r="J26" s="10">
        <f t="shared" si="10"/>
        <v>8.9378586784917002E-2</v>
      </c>
      <c r="K26" s="10">
        <f t="shared" si="10"/>
        <v>6.0127958197377519E-2</v>
      </c>
      <c r="L26" s="10">
        <f t="shared" si="10"/>
        <v>4.9401487307423969E-2</v>
      </c>
      <c r="M26" s="10">
        <f>M23/$B$23</f>
        <v>3.0707840049592823E-2</v>
      </c>
    </row>
    <row r="27" spans="1:15" x14ac:dyDescent="0.25">
      <c r="A27" s="6" t="s">
        <v>38</v>
      </c>
      <c r="B27" s="16">
        <f>B11+B23</f>
        <v>1.022</v>
      </c>
      <c r="C27" t="s">
        <v>27</v>
      </c>
      <c r="D27" s="10">
        <f t="shared" ref="D27:M27" si="11">D11+D23</f>
        <v>0.99699675076790895</v>
      </c>
      <c r="E27" s="10">
        <f t="shared" si="11"/>
        <v>0.57686509069279812</v>
      </c>
      <c r="F27" s="10">
        <f t="shared" si="11"/>
        <v>0.36573608108981426</v>
      </c>
      <c r="G27" s="10">
        <f t="shared" si="11"/>
        <v>0.25677656559434059</v>
      </c>
      <c r="H27" s="10">
        <f t="shared" si="11"/>
        <v>0.17278271973629106</v>
      </c>
      <c r="I27" s="10">
        <f t="shared" si="11"/>
        <v>0.12889578600728632</v>
      </c>
      <c r="J27" s="10">
        <f t="shared" si="11"/>
        <v>8.649394196183556E-2</v>
      </c>
      <c r="K27" s="10">
        <f t="shared" si="11"/>
        <v>6.2210984210877646E-2</v>
      </c>
      <c r="L27" s="10">
        <f t="shared" si="11"/>
        <v>5.0471715561471737E-2</v>
      </c>
      <c r="M27" s="10">
        <f t="shared" si="11"/>
        <v>3.1029802427707968E-2</v>
      </c>
    </row>
    <row r="28" spans="1:15" x14ac:dyDescent="0.25">
      <c r="A28" s="6" t="s">
        <v>38</v>
      </c>
      <c r="C28" t="s">
        <v>31</v>
      </c>
      <c r="D28" s="10">
        <f>D24+D12</f>
        <v>1.5458877465748941</v>
      </c>
      <c r="E28" s="10">
        <f t="shared" ref="E28:M28" si="12">E24+E12</f>
        <v>0.90366095399789859</v>
      </c>
      <c r="F28" s="10">
        <f t="shared" si="12"/>
        <v>0.56768529340953566</v>
      </c>
      <c r="G28" s="10">
        <f t="shared" si="12"/>
        <v>0.39258228559868585</v>
      </c>
      <c r="H28" s="10">
        <f t="shared" si="12"/>
        <v>0.26872902800702897</v>
      </c>
      <c r="I28" s="10">
        <f t="shared" si="12"/>
        <v>0.19991604868292723</v>
      </c>
      <c r="J28" s="10">
        <f t="shared" si="12"/>
        <v>0.13507720618697</v>
      </c>
      <c r="K28" s="10">
        <f t="shared" si="12"/>
        <v>9.7288286499632892E-2</v>
      </c>
      <c r="L28" s="10">
        <f t="shared" si="12"/>
        <v>7.8483827285786054E-2</v>
      </c>
      <c r="M28" s="10">
        <f t="shared" si="12"/>
        <v>4.8396782489933454E-2</v>
      </c>
    </row>
    <row r="29" spans="1:15" x14ac:dyDescent="0.25">
      <c r="A29" s="6" t="s">
        <v>38</v>
      </c>
      <c r="C29" t="s">
        <v>32</v>
      </c>
      <c r="D29" s="10">
        <f>D27/D28</f>
        <v>0.64493476513859349</v>
      </c>
      <c r="E29" s="10">
        <f t="shared" ref="E29:M29" si="13">E27/E28</f>
        <v>0.63836451950333972</v>
      </c>
      <c r="F29" s="10">
        <f t="shared" si="13"/>
        <v>0.64425850966332399</v>
      </c>
      <c r="G29" s="10">
        <f t="shared" si="13"/>
        <v>0.65407068788841993</v>
      </c>
      <c r="H29" s="10">
        <f t="shared" si="13"/>
        <v>0.64296261932585752</v>
      </c>
      <c r="I29" s="10">
        <f t="shared" si="13"/>
        <v>0.64474956791347382</v>
      </c>
      <c r="J29" s="10">
        <f t="shared" si="13"/>
        <v>0.64032966333426478</v>
      </c>
      <c r="K29" s="10">
        <f t="shared" si="13"/>
        <v>0.63944989113476058</v>
      </c>
      <c r="L29" s="10">
        <f t="shared" si="13"/>
        <v>0.64308427999678475</v>
      </c>
      <c r="M29" s="10">
        <f t="shared" si="13"/>
        <v>0.64115424272599475</v>
      </c>
      <c r="N29" s="9">
        <v>0.64479274974425671</v>
      </c>
      <c r="O29" s="9">
        <v>8.6126365942340473E-3</v>
      </c>
    </row>
    <row r="30" spans="1:15" x14ac:dyDescent="0.25">
      <c r="A30" s="6" t="s">
        <v>38</v>
      </c>
      <c r="C30" t="s">
        <v>28</v>
      </c>
      <c r="D30" s="10">
        <f t="shared" ref="D30:M30" si="14">D27/$B$27</f>
        <v>0.97553498118190696</v>
      </c>
      <c r="E30" s="10">
        <f t="shared" si="14"/>
        <v>0.56444725116712147</v>
      </c>
      <c r="F30" s="10">
        <f t="shared" si="14"/>
        <v>0.35786309304287106</v>
      </c>
      <c r="G30" s="10">
        <f t="shared" si="14"/>
        <v>0.2512490857087481</v>
      </c>
      <c r="H30" s="10">
        <f t="shared" si="14"/>
        <v>0.1690633265521439</v>
      </c>
      <c r="I30" s="10">
        <f t="shared" si="14"/>
        <v>0.12612112133785355</v>
      </c>
      <c r="J30" s="10">
        <f t="shared" si="14"/>
        <v>8.4632037144653186E-2</v>
      </c>
      <c r="K30" s="10">
        <f t="shared" si="14"/>
        <v>6.0871804511621962E-2</v>
      </c>
      <c r="L30" s="10">
        <f t="shared" si="14"/>
        <v>4.9385240275412655E-2</v>
      </c>
      <c r="M30" s="10">
        <f t="shared" si="14"/>
        <v>3.0361841905780791E-2</v>
      </c>
    </row>
    <row r="31" spans="1:15" x14ac:dyDescent="0.25">
      <c r="A31" s="6" t="s">
        <v>39</v>
      </c>
      <c r="B31" s="16">
        <v>0.47</v>
      </c>
      <c r="C31" s="17" t="s">
        <v>27</v>
      </c>
      <c r="D31" s="10">
        <v>0.459376566276614</v>
      </c>
      <c r="E31" s="10">
        <v>0.30074946222091498</v>
      </c>
      <c r="F31" s="10">
        <v>0.19856799610741116</v>
      </c>
      <c r="G31" s="10">
        <v>0.12079324220030756</v>
      </c>
      <c r="H31" s="10">
        <v>7.9555511271899026E-2</v>
      </c>
      <c r="I31" s="10">
        <v>5.9678515473594637E-2</v>
      </c>
      <c r="J31" s="10">
        <v>3.9759070420432099E-2</v>
      </c>
      <c r="K31" s="10">
        <v>3.0114676555053732E-2</v>
      </c>
      <c r="L31" s="10">
        <v>2.9968215710414591E-2</v>
      </c>
      <c r="M31" s="10">
        <v>2.0483698581259362E-2</v>
      </c>
    </row>
    <row r="32" spans="1:15" x14ac:dyDescent="0.25">
      <c r="A32" s="6" t="s">
        <v>39</v>
      </c>
      <c r="B32" s="16"/>
      <c r="C32" s="17" t="s">
        <v>31</v>
      </c>
      <c r="D32" s="10">
        <v>0.77860434962137892</v>
      </c>
      <c r="E32" s="10">
        <v>0.50974485122188984</v>
      </c>
      <c r="F32" s="10">
        <v>0.34235861397829515</v>
      </c>
      <c r="G32" s="10">
        <v>0.20826421069018547</v>
      </c>
      <c r="H32" s="10">
        <v>0.14206341298553396</v>
      </c>
      <c r="I32" s="10">
        <v>9.9464192455991071E-2</v>
      </c>
      <c r="J32" s="10">
        <v>6.6825983483503687E-2</v>
      </c>
      <c r="K32" s="10">
        <v>5.1921856129402991E-2</v>
      </c>
      <c r="L32" s="10">
        <v>5.1669337431749299E-2</v>
      </c>
      <c r="M32" s="10">
        <v>3.5316721691826487E-2</v>
      </c>
    </row>
    <row r="33" spans="1:18" x14ac:dyDescent="0.25">
      <c r="A33" s="6" t="s">
        <v>40</v>
      </c>
      <c r="B33" s="16">
        <v>0.12</v>
      </c>
      <c r="C33" t="s">
        <v>27</v>
      </c>
      <c r="D33" s="10">
        <v>0.12029467094309908</v>
      </c>
      <c r="E33" s="10">
        <v>6.7903241908122622E-2</v>
      </c>
      <c r="F33" s="10">
        <v>4.7570122413874573E-2</v>
      </c>
      <c r="G33" s="10">
        <v>4.2192909639205113E-2</v>
      </c>
      <c r="H33" s="10">
        <v>4.309039856344201E-2</v>
      </c>
      <c r="I33" s="10">
        <v>3.1925924516027979E-2</v>
      </c>
      <c r="J33" s="10">
        <v>2.2894254076150592E-2</v>
      </c>
      <c r="K33" s="10">
        <v>1.589213332447284E-2</v>
      </c>
      <c r="L33" s="10">
        <v>1.0280701125357975E-2</v>
      </c>
      <c r="M33" s="10">
        <v>6.5664806060350073E-3</v>
      </c>
    </row>
    <row r="34" spans="1:18" x14ac:dyDescent="0.25">
      <c r="A34" s="6" t="s">
        <v>40</v>
      </c>
      <c r="B34" s="16"/>
      <c r="C34" s="17" t="s">
        <v>31</v>
      </c>
      <c r="D34" s="10">
        <v>0.20740460507430877</v>
      </c>
      <c r="E34" s="10">
        <v>0.11912849457565373</v>
      </c>
      <c r="F34" s="10">
        <v>8.2017452437714786E-2</v>
      </c>
      <c r="G34" s="10">
        <v>7.4022648489833531E-2</v>
      </c>
      <c r="H34" s="10">
        <v>7.4293790626624168E-2</v>
      </c>
      <c r="I34" s="10">
        <v>5.4111736467844035E-2</v>
      </c>
      <c r="J34" s="10">
        <v>3.9472851855432055E-2</v>
      </c>
      <c r="K34" s="10">
        <v>2.6935819194021764E-2</v>
      </c>
      <c r="L34" s="10">
        <v>1.7725346767858578E-2</v>
      </c>
      <c r="M34" s="10">
        <v>1.1321518286267256E-2</v>
      </c>
    </row>
    <row r="35" spans="1:18" x14ac:dyDescent="0.25">
      <c r="A35" s="18" t="s">
        <v>41</v>
      </c>
      <c r="B35" s="16">
        <f>B31+B33</f>
        <v>0.59</v>
      </c>
      <c r="C35" t="s">
        <v>27</v>
      </c>
      <c r="D35" s="10">
        <f>D31+D33</f>
        <v>0.57967123721971303</v>
      </c>
      <c r="E35" s="10">
        <f t="shared" ref="E35:M36" si="15">E31+E33</f>
        <v>0.36865270412903761</v>
      </c>
      <c r="F35" s="10">
        <f t="shared" si="15"/>
        <v>0.24613811852128573</v>
      </c>
      <c r="G35" s="10">
        <f t="shared" si="15"/>
        <v>0.16298615183951268</v>
      </c>
      <c r="H35" s="10">
        <f t="shared" si="15"/>
        <v>0.12264590983534104</v>
      </c>
      <c r="I35" s="10">
        <f t="shared" si="15"/>
        <v>9.1604439989622616E-2</v>
      </c>
      <c r="J35" s="10">
        <f>J31+J33</f>
        <v>6.2653324496582688E-2</v>
      </c>
      <c r="K35" s="10">
        <f t="shared" si="15"/>
        <v>4.6006809879526572E-2</v>
      </c>
      <c r="L35" s="10">
        <f t="shared" si="15"/>
        <v>4.0248916835772565E-2</v>
      </c>
      <c r="M35" s="10">
        <f t="shared" si="15"/>
        <v>2.7050179187294368E-2</v>
      </c>
    </row>
    <row r="36" spans="1:18" x14ac:dyDescent="0.25">
      <c r="A36" s="18" t="s">
        <v>41</v>
      </c>
      <c r="B36" s="16"/>
      <c r="C36" t="s">
        <v>31</v>
      </c>
      <c r="D36" s="10">
        <f>D32+D34</f>
        <v>0.98600895469568772</v>
      </c>
      <c r="E36" s="10">
        <f t="shared" si="15"/>
        <v>0.62887334579754361</v>
      </c>
      <c r="F36" s="10">
        <f t="shared" si="15"/>
        <v>0.42437606641600994</v>
      </c>
      <c r="G36" s="10">
        <f t="shared" si="15"/>
        <v>0.282286859180019</v>
      </c>
      <c r="H36" s="10">
        <f t="shared" si="15"/>
        <v>0.21635720361215813</v>
      </c>
      <c r="I36" s="10">
        <f t="shared" si="15"/>
        <v>0.15357592892383509</v>
      </c>
      <c r="J36" s="10">
        <f t="shared" si="15"/>
        <v>0.10629883533893575</v>
      </c>
      <c r="K36" s="10">
        <f t="shared" si="15"/>
        <v>7.8857675323424747E-2</v>
      </c>
      <c r="L36" s="10">
        <f t="shared" si="15"/>
        <v>6.939468419960787E-2</v>
      </c>
      <c r="M36" s="10">
        <f t="shared" si="15"/>
        <v>4.6638239978093743E-2</v>
      </c>
    </row>
    <row r="37" spans="1:18" x14ac:dyDescent="0.25">
      <c r="A37" s="18" t="s">
        <v>41</v>
      </c>
      <c r="C37" s="17" t="s">
        <v>32</v>
      </c>
      <c r="D37" s="10">
        <f>D35/D36</f>
        <v>0.58789652412296511</v>
      </c>
      <c r="E37" s="10">
        <f t="shared" ref="E37:M37" si="16">E35/E36</f>
        <v>0.58621136766658233</v>
      </c>
      <c r="F37" s="10">
        <f t="shared" si="16"/>
        <v>0.57999999999999985</v>
      </c>
      <c r="G37" s="10">
        <f t="shared" si="16"/>
        <v>0.57737775082039411</v>
      </c>
      <c r="H37" s="10">
        <f t="shared" si="16"/>
        <v>0.5668676974361162</v>
      </c>
      <c r="I37" s="10">
        <f t="shared" si="16"/>
        <v>0.5964765483206238</v>
      </c>
      <c r="J37" s="10">
        <f t="shared" si="16"/>
        <v>0.58940744079473151</v>
      </c>
      <c r="K37" s="10">
        <f t="shared" si="16"/>
        <v>0.58341575110901356</v>
      </c>
      <c r="L37" s="10">
        <f t="shared" si="16"/>
        <v>0.57999999999999996</v>
      </c>
      <c r="M37" s="10">
        <f t="shared" si="16"/>
        <v>0.57999999999999996</v>
      </c>
      <c r="N37" s="10">
        <f>AVERAGE(D37:M37)</f>
        <v>0.58276530802704263</v>
      </c>
      <c r="O37" s="9">
        <f>STDEV(D37:M37)</f>
        <v>7.9961407397295212E-3</v>
      </c>
    </row>
    <row r="38" spans="1:18" x14ac:dyDescent="0.25">
      <c r="A38" s="18" t="s">
        <v>41</v>
      </c>
      <c r="C38" t="s">
        <v>28</v>
      </c>
      <c r="D38" s="10">
        <f>D35/$B$35</f>
        <v>0.98249362240629334</v>
      </c>
      <c r="E38" s="10">
        <f t="shared" ref="E38:M38" si="17">E35/$B$35</f>
        <v>0.62483509174413154</v>
      </c>
      <c r="F38" s="10">
        <f t="shared" si="17"/>
        <v>0.4171832517309928</v>
      </c>
      <c r="G38" s="10">
        <f t="shared" si="17"/>
        <v>0.27624771498222489</v>
      </c>
      <c r="H38" s="10">
        <f t="shared" si="17"/>
        <v>0.20787442344973059</v>
      </c>
      <c r="I38" s="10">
        <f t="shared" si="17"/>
        <v>0.15526176269427563</v>
      </c>
      <c r="J38" s="10">
        <f>J35/$B$35</f>
        <v>0.10619207541793677</v>
      </c>
      <c r="K38" s="10">
        <f t="shared" si="17"/>
        <v>7.7977643863604368E-2</v>
      </c>
      <c r="L38" s="10">
        <f t="shared" si="17"/>
        <v>6.8218503111478923E-2</v>
      </c>
      <c r="M38" s="10">
        <f t="shared" si="17"/>
        <v>4.584776133439724E-2</v>
      </c>
    </row>
    <row r="39" spans="1:18" x14ac:dyDescent="0.25">
      <c r="A39" s="6" t="s">
        <v>42</v>
      </c>
      <c r="B39" s="16">
        <v>4.1000000000000002E-2</v>
      </c>
      <c r="C39" t="s">
        <v>27</v>
      </c>
      <c r="D39" s="10">
        <v>3.9676005968562633E-2</v>
      </c>
      <c r="E39" s="10">
        <v>2.2787201306757401E-2</v>
      </c>
      <c r="F39" s="10">
        <v>1.38107340787555E-2</v>
      </c>
      <c r="G39" s="10">
        <v>9.2950850753524602E-3</v>
      </c>
      <c r="H39" s="10">
        <v>6.0995721925133708E-3</v>
      </c>
      <c r="I39" s="10">
        <v>4.849250086404148E-3</v>
      </c>
      <c r="J39" s="10">
        <v>3.4656827400421325E-3</v>
      </c>
      <c r="K39" s="10">
        <v>2.2166974558418409E-3</v>
      </c>
      <c r="L39" s="10">
        <v>1.903923852600875E-3</v>
      </c>
      <c r="M39" s="10">
        <v>1.6678541871333701E-3</v>
      </c>
    </row>
    <row r="40" spans="1:18" x14ac:dyDescent="0.25">
      <c r="A40" s="6" t="s">
        <v>42</v>
      </c>
      <c r="B40" s="16"/>
      <c r="C40" t="s">
        <v>31</v>
      </c>
      <c r="D40" s="10">
        <v>6.3993558013810695E-2</v>
      </c>
      <c r="E40" s="10">
        <v>3.6170160804376829E-2</v>
      </c>
      <c r="F40" s="10">
        <v>2.1247283198085384E-2</v>
      </c>
      <c r="G40" s="10">
        <v>1.4300130885157631E-2</v>
      </c>
      <c r="H40" s="10">
        <v>9.5305815508021415E-3</v>
      </c>
      <c r="I40" s="10">
        <v>7.5769532600064807E-3</v>
      </c>
      <c r="J40" s="10">
        <v>5.5898108710356973E-3</v>
      </c>
      <c r="K40" s="10">
        <v>3.4635897747528764E-3</v>
      </c>
      <c r="L40" s="10">
        <v>2.9748810196888673E-3</v>
      </c>
      <c r="M40" s="10">
        <v>2.6900873986022097E-3</v>
      </c>
    </row>
    <row r="41" spans="1:18" x14ac:dyDescent="0.25">
      <c r="A41" s="6" t="s">
        <v>43</v>
      </c>
      <c r="B41" s="16">
        <v>8.3000000000000001E-3</v>
      </c>
      <c r="C41" t="s">
        <v>27</v>
      </c>
      <c r="D41" s="10">
        <v>8.0491865944615944E-3</v>
      </c>
      <c r="E41" s="10">
        <v>5.3062397706427058E-3</v>
      </c>
      <c r="F41" s="10">
        <v>3.3595411755659795E-3</v>
      </c>
      <c r="G41" s="10">
        <v>2.7295974156991113E-3</v>
      </c>
      <c r="H41" s="10">
        <v>1.429527005503257E-3</v>
      </c>
      <c r="I41" s="10">
        <v>9.6651141843426323E-4</v>
      </c>
      <c r="J41" s="10">
        <v>6.5183222206355665E-4</v>
      </c>
      <c r="K41" s="10">
        <v>4.4747080857233875E-4</v>
      </c>
      <c r="L41" s="10">
        <v>3.0961916583367201E-4</v>
      </c>
      <c r="M41" s="10">
        <v>2.1698869690345686E-4</v>
      </c>
    </row>
    <row r="42" spans="1:18" x14ac:dyDescent="0.25">
      <c r="A42" s="6" t="s">
        <v>43</v>
      </c>
      <c r="B42" s="16"/>
      <c r="C42" t="s">
        <v>31</v>
      </c>
      <c r="D42" s="10">
        <v>1.257685405384624E-2</v>
      </c>
      <c r="E42" s="10">
        <v>8.4226028105439769E-3</v>
      </c>
      <c r="F42" s="10">
        <v>5.2492830868218427E-3</v>
      </c>
      <c r="G42" s="10">
        <v>4.2649959620298609E-3</v>
      </c>
      <c r="H42" s="10">
        <v>2.2336359460988389E-3</v>
      </c>
      <c r="I42" s="10">
        <v>1.5101740913035363E-3</v>
      </c>
      <c r="J42" s="10">
        <v>1.0184878469743073E-3</v>
      </c>
      <c r="K42" s="10">
        <v>6.9917313839427931E-4</v>
      </c>
      <c r="L42" s="10">
        <v>4.8377994661511251E-4</v>
      </c>
      <c r="M42" s="10">
        <v>3.3904483891165134E-4</v>
      </c>
    </row>
    <row r="43" spans="1:18" x14ac:dyDescent="0.25">
      <c r="A43" s="18" t="s">
        <v>44</v>
      </c>
      <c r="B43" s="16">
        <f>B41+B39</f>
        <v>4.9300000000000004E-2</v>
      </c>
      <c r="C43" t="s">
        <v>27</v>
      </c>
      <c r="D43" s="10">
        <f t="shared" ref="D43:M44" si="18">D41+D39</f>
        <v>4.7725192563024224E-2</v>
      </c>
      <c r="E43" s="10">
        <f t="shared" si="18"/>
        <v>2.8093441077400107E-2</v>
      </c>
      <c r="F43" s="10">
        <f t="shared" si="18"/>
        <v>1.7170275254321479E-2</v>
      </c>
      <c r="G43" s="10">
        <f t="shared" si="18"/>
        <v>1.2024682491051571E-2</v>
      </c>
      <c r="H43" s="10">
        <f t="shared" si="18"/>
        <v>7.5290991980166283E-3</v>
      </c>
      <c r="I43" s="10">
        <f t="shared" si="18"/>
        <v>5.8157615048384115E-3</v>
      </c>
      <c r="J43" s="10">
        <f t="shared" si="18"/>
        <v>4.1175149621056895E-3</v>
      </c>
      <c r="K43" s="10">
        <f t="shared" si="18"/>
        <v>2.6641682644141795E-3</v>
      </c>
      <c r="L43" s="10">
        <f t="shared" si="18"/>
        <v>2.213543018434547E-3</v>
      </c>
      <c r="M43" s="10">
        <f t="shared" si="18"/>
        <v>1.8848428840368269E-3</v>
      </c>
    </row>
    <row r="44" spans="1:18" x14ac:dyDescent="0.25">
      <c r="A44" s="18" t="s">
        <v>44</v>
      </c>
      <c r="B44" s="16"/>
      <c r="C44" t="s">
        <v>31</v>
      </c>
      <c r="D44" s="10">
        <f>D42+D40</f>
        <v>7.657041206765694E-2</v>
      </c>
      <c r="E44" s="10">
        <f t="shared" si="18"/>
        <v>4.4592763614920802E-2</v>
      </c>
      <c r="F44" s="10">
        <f t="shared" si="18"/>
        <v>2.6496566284907225E-2</v>
      </c>
      <c r="G44" s="10">
        <f t="shared" si="18"/>
        <v>1.8565126847187492E-2</v>
      </c>
      <c r="H44" s="10">
        <f t="shared" si="18"/>
        <v>1.1764217496900981E-2</v>
      </c>
      <c r="I44" s="10">
        <f t="shared" si="18"/>
        <v>9.0871273513100162E-3</v>
      </c>
      <c r="J44" s="10">
        <f t="shared" si="18"/>
        <v>6.6082987180100042E-3</v>
      </c>
      <c r="K44" s="10">
        <f t="shared" si="18"/>
        <v>4.1627629131471555E-3</v>
      </c>
      <c r="L44" s="10">
        <f t="shared" si="18"/>
        <v>3.4586609663039797E-3</v>
      </c>
      <c r="M44" s="10">
        <f t="shared" si="18"/>
        <v>3.0291322375138609E-3</v>
      </c>
    </row>
    <row r="45" spans="1:18" x14ac:dyDescent="0.25">
      <c r="A45" s="18" t="s">
        <v>44</v>
      </c>
      <c r="B45" s="16"/>
      <c r="C45" s="17" t="s">
        <v>32</v>
      </c>
      <c r="D45" s="10">
        <f>D43/D44</f>
        <v>0.62328504280288666</v>
      </c>
      <c r="E45" s="10">
        <f t="shared" ref="E45:M45" si="19">E43/E44</f>
        <v>0.63</v>
      </c>
      <c r="F45" s="10">
        <f t="shared" si="19"/>
        <v>0.6480188817560818</v>
      </c>
      <c r="G45" s="10">
        <f t="shared" si="19"/>
        <v>0.6477026841792487</v>
      </c>
      <c r="H45" s="10">
        <f t="shared" si="19"/>
        <v>0.64</v>
      </c>
      <c r="I45" s="10">
        <f t="shared" si="19"/>
        <v>0.64000000000000012</v>
      </c>
      <c r="J45" s="10">
        <f t="shared" si="19"/>
        <v>0.62308245099210968</v>
      </c>
      <c r="K45" s="10">
        <f t="shared" si="19"/>
        <v>0.64</v>
      </c>
      <c r="L45" s="10">
        <f t="shared" si="19"/>
        <v>0.64</v>
      </c>
      <c r="M45" s="10">
        <f t="shared" si="19"/>
        <v>0.62223856083080697</v>
      </c>
      <c r="N45" s="9">
        <f>AVERAGE(D45:M45)</f>
        <v>0.63543276205611332</v>
      </c>
      <c r="O45" s="9">
        <f>STDEV(D45:M45)</f>
        <v>9.9783051540114354E-3</v>
      </c>
    </row>
    <row r="46" spans="1:18" x14ac:dyDescent="0.25">
      <c r="A46" s="18" t="s">
        <v>44</v>
      </c>
      <c r="C46" t="s">
        <v>28</v>
      </c>
      <c r="D46" s="9">
        <f t="shared" ref="D46:M46" si="20">D43/$B$43</f>
        <v>0.96805664428041016</v>
      </c>
      <c r="E46" s="9">
        <f t="shared" si="20"/>
        <v>0.5698466749979737</v>
      </c>
      <c r="F46" s="9">
        <f t="shared" si="20"/>
        <v>0.34828144532092248</v>
      </c>
      <c r="G46" s="9">
        <f t="shared" si="20"/>
        <v>0.2439083669584497</v>
      </c>
      <c r="H46" s="9">
        <f t="shared" si="20"/>
        <v>0.15272006486849143</v>
      </c>
      <c r="I46" s="9">
        <f t="shared" si="20"/>
        <v>0.11796676480402457</v>
      </c>
      <c r="J46" s="9">
        <f t="shared" si="20"/>
        <v>8.3519573267863884E-2</v>
      </c>
      <c r="K46" s="9">
        <f t="shared" si="20"/>
        <v>5.4039924227468138E-2</v>
      </c>
      <c r="L46" s="9">
        <f t="shared" si="20"/>
        <v>4.4899452706583097E-2</v>
      </c>
      <c r="M46" s="9">
        <f t="shared" si="20"/>
        <v>3.8232107181274379E-2</v>
      </c>
    </row>
    <row r="47" spans="1:18" x14ac:dyDescent="0.25">
      <c r="C47" s="19" t="s">
        <v>45</v>
      </c>
      <c r="D47" s="9">
        <f t="shared" ref="D47:M47" si="21">LN(D5*(D4-D6)/(D4*(D5-D6)))</f>
        <v>-0.53973764882886965</v>
      </c>
      <c r="E47" s="9">
        <f t="shared" si="21"/>
        <v>-1.070409587006582</v>
      </c>
      <c r="F47" s="9">
        <f t="shared" si="21"/>
        <v>-1.411472543568054</v>
      </c>
      <c r="G47" s="9">
        <f t="shared" si="21"/>
        <v>-1.7383867064677141</v>
      </c>
      <c r="H47" s="9">
        <f t="shared" si="21"/>
        <v>-2.0371011038818407</v>
      </c>
      <c r="I47" s="9">
        <f t="shared" si="21"/>
        <v>-2.3227755888922843</v>
      </c>
      <c r="J47" s="9">
        <f t="shared" si="21"/>
        <v>-2.6289946988448638</v>
      </c>
      <c r="K47" s="9">
        <f t="shared" si="21"/>
        <v>-2.9042909376157775</v>
      </c>
      <c r="L47" s="9">
        <f t="shared" si="21"/>
        <v>-3.1421406896284552</v>
      </c>
      <c r="M47" s="9">
        <f t="shared" si="21"/>
        <v>-3.4425126496027292</v>
      </c>
      <c r="N47" s="6" t="s">
        <v>46</v>
      </c>
      <c r="O47" s="6" t="s">
        <v>47</v>
      </c>
      <c r="P47" s="6" t="s">
        <v>48</v>
      </c>
      <c r="Q47" s="6" t="s">
        <v>49</v>
      </c>
    </row>
    <row r="48" spans="1:18" ht="15.75" x14ac:dyDescent="0.25">
      <c r="A48" s="6" t="s">
        <v>37</v>
      </c>
      <c r="C48" t="s">
        <v>50</v>
      </c>
      <c r="D48" s="9">
        <f t="shared" ref="D48:M48" si="22">LN(D23)</f>
        <v>-0.36779425242205399</v>
      </c>
      <c r="E48" s="9">
        <f t="shared" si="22"/>
        <v>-0.90328469949074308</v>
      </c>
      <c r="F48" s="9">
        <f t="shared" si="22"/>
        <v>-1.4127984697196145</v>
      </c>
      <c r="G48" s="9">
        <f t="shared" si="22"/>
        <v>-1.7352730500051765</v>
      </c>
      <c r="H48" s="9">
        <f t="shared" si="22"/>
        <v>-2.1329928544730259</v>
      </c>
      <c r="I48" s="9">
        <f t="shared" si="22"/>
        <v>-2.3938191644346065</v>
      </c>
      <c r="J48" s="9">
        <f t="shared" si="22"/>
        <v>-2.7744103231337802</v>
      </c>
      <c r="K48" s="9">
        <f t="shared" si="22"/>
        <v>-3.1708165271983115</v>
      </c>
      <c r="L48" s="9">
        <f t="shared" si="22"/>
        <v>-3.3673109240235122</v>
      </c>
      <c r="M48" s="9">
        <f t="shared" si="22"/>
        <v>-3.8427734570034682</v>
      </c>
      <c r="N48" s="20">
        <f>SLOPE(D48:M48,D$47:M$47)</f>
        <v>1.1875227753854907</v>
      </c>
      <c r="O48" s="20">
        <f>RSQ(D48:M48,D$47:M$47)</f>
        <v>0.99819611944375064</v>
      </c>
      <c r="P48" s="12">
        <f>0.0132*Q48/(N48*0.000101*$D$6)</f>
        <v>34429391.785813004</v>
      </c>
      <c r="Q48" s="9">
        <f>N25</f>
        <v>0.64479274974425671</v>
      </c>
      <c r="R48" s="9"/>
    </row>
    <row r="49" spans="1:18" ht="15.75" x14ac:dyDescent="0.25">
      <c r="A49" s="6" t="str">
        <f>A43</f>
        <v xml:space="preserve">SDP </v>
      </c>
      <c r="C49" t="s">
        <v>50</v>
      </c>
      <c r="D49" s="9">
        <f t="shared" ref="D49:M49" si="23">LN(D43)</f>
        <v>-3.0422958745324893</v>
      </c>
      <c r="E49" s="9">
        <f t="shared" si="23"/>
        <v>-3.5722191435032893</v>
      </c>
      <c r="F49" s="9">
        <f t="shared" si="23"/>
        <v>-4.0645755730817692</v>
      </c>
      <c r="G49" s="9">
        <f t="shared" si="23"/>
        <v>-4.4207938674094613</v>
      </c>
      <c r="H49" s="9">
        <f t="shared" si="23"/>
        <v>-4.8889798727438309</v>
      </c>
      <c r="I49" s="9">
        <f t="shared" si="23"/>
        <v>-5.1471835463251407</v>
      </c>
      <c r="J49" s="9">
        <f t="shared" si="23"/>
        <v>-5.492505462135064</v>
      </c>
      <c r="K49" s="9">
        <f t="shared" si="23"/>
        <v>-5.9278633659810147</v>
      </c>
      <c r="L49" s="9">
        <f t="shared" si="23"/>
        <v>-6.113160871404669</v>
      </c>
      <c r="M49" s="9">
        <f t="shared" si="23"/>
        <v>-6.2739108121996141</v>
      </c>
      <c r="N49" s="20">
        <f>SLOPE(D49:M49,D$47:M$47)</f>
        <v>1.1705192560394708</v>
      </c>
      <c r="O49" s="20">
        <f>RSQ(D49:M49,D$47:M$47)</f>
        <v>0.99451643824687452</v>
      </c>
      <c r="P49" s="12">
        <f t="shared" ref="P49:P51" si="24">0.0132*Q49/(N49*0.000101*$D$6)</f>
        <v>34422482.911873475</v>
      </c>
      <c r="Q49" s="9">
        <f>N45</f>
        <v>0.63543276205611332</v>
      </c>
      <c r="R49" s="9"/>
    </row>
    <row r="50" spans="1:18" ht="15.75" x14ac:dyDescent="0.25">
      <c r="A50" s="6" t="str">
        <f>A35</f>
        <v>OA</v>
      </c>
      <c r="C50" t="s">
        <v>50</v>
      </c>
      <c r="D50" s="9">
        <f t="shared" ref="D50:M50" si="25">LN(D38)</f>
        <v>-1.7661426449311929E-2</v>
      </c>
      <c r="E50" s="9">
        <f t="shared" si="25"/>
        <v>-0.47026751727050736</v>
      </c>
      <c r="F50" s="9">
        <f t="shared" si="25"/>
        <v>-0.87422970112203768</v>
      </c>
      <c r="G50" s="9">
        <f t="shared" si="25"/>
        <v>-1.2864572977419411</v>
      </c>
      <c r="H50" s="9">
        <f t="shared" si="25"/>
        <v>-1.5708211150159797</v>
      </c>
      <c r="I50" s="9">
        <f t="shared" si="25"/>
        <v>-1.8626427948919555</v>
      </c>
      <c r="J50" s="9">
        <f t="shared" si="25"/>
        <v>-2.2425057923752569</v>
      </c>
      <c r="K50" s="9">
        <f t="shared" si="25"/>
        <v>-2.5513331105083634</v>
      </c>
      <c r="L50" s="9">
        <f t="shared" si="25"/>
        <v>-2.6850394443097807</v>
      </c>
      <c r="M50" s="9">
        <f t="shared" si="25"/>
        <v>-3.082428907329978</v>
      </c>
      <c r="N50" s="20">
        <f>SLOPE(D50:M50,D$47:M$47)</f>
        <v>1.0695500692477309</v>
      </c>
      <c r="O50" s="20">
        <f>RSQ(D50:M50,D$47:M$47)</f>
        <v>0.99803873350230421</v>
      </c>
      <c r="P50" s="12">
        <f>0.0132*Q50/(N50*0.000101*$D$6)</f>
        <v>34549655.64121931</v>
      </c>
      <c r="Q50" s="9">
        <f>N37</f>
        <v>0.58276530802704263</v>
      </c>
      <c r="R50" s="9"/>
    </row>
    <row r="51" spans="1:18" ht="15.75" x14ac:dyDescent="0.25">
      <c r="A51" s="6" t="s">
        <v>30</v>
      </c>
      <c r="C51" t="s">
        <v>50</v>
      </c>
      <c r="D51" s="9">
        <f t="shared" ref="D51:M51" si="26">LN(D11)</f>
        <v>-1.1883056673911729</v>
      </c>
      <c r="E51" s="9">
        <f t="shared" si="26"/>
        <v>-1.7624218610697002</v>
      </c>
      <c r="F51" s="9">
        <f t="shared" si="26"/>
        <v>-2.1014820966678891</v>
      </c>
      <c r="G51" s="9">
        <f t="shared" si="26"/>
        <v>-2.5204361143814742</v>
      </c>
      <c r="H51" s="9">
        <f t="shared" si="26"/>
        <v>-2.9132207957869665</v>
      </c>
      <c r="I51" s="9">
        <f t="shared" si="26"/>
        <v>-3.2803421752001065</v>
      </c>
      <c r="J51" s="9">
        <f t="shared" si="26"/>
        <v>-3.7252244691971805</v>
      </c>
      <c r="K51" s="9">
        <f t="shared" si="26"/>
        <v>-3.9000119582651172</v>
      </c>
      <c r="L51" s="9">
        <f t="shared" si="26"/>
        <v>-4.13582443429073</v>
      </c>
      <c r="M51" s="9">
        <f t="shared" si="26"/>
        <v>-4.6464370635070127</v>
      </c>
      <c r="N51" s="20">
        <f>SLOPE(D51:M51,D$47:M$47)</f>
        <v>1.1878810997587379</v>
      </c>
      <c r="O51" s="20">
        <f>RSQ(D51:M51,D$47:M$47)</f>
        <v>0.99683188621354735</v>
      </c>
      <c r="P51" s="12">
        <f t="shared" si="24"/>
        <v>34183435.457576431</v>
      </c>
      <c r="Q51" s="9">
        <f>N13</f>
        <v>0.64037965660045182</v>
      </c>
      <c r="R51" s="9"/>
    </row>
    <row r="52" spans="1:18" ht="15.75" x14ac:dyDescent="0.25">
      <c r="A52" s="6" t="s">
        <v>26</v>
      </c>
      <c r="C52" t="s">
        <v>50</v>
      </c>
      <c r="D52" s="9">
        <f>LN(D8)</f>
        <v>0.86929097713580517</v>
      </c>
      <c r="E52" s="9">
        <f t="shared" ref="E52:M52" si="27">LN(E8)</f>
        <v>0.31517156068773039</v>
      </c>
      <c r="F52" s="9">
        <f t="shared" si="27"/>
        <v>-3.3896442614540286E-2</v>
      </c>
      <c r="G52" s="9">
        <f t="shared" si="27"/>
        <v>-0.40462316508029272</v>
      </c>
      <c r="H52" s="9">
        <f t="shared" si="27"/>
        <v>-0.60270749701715631</v>
      </c>
      <c r="I52" s="9">
        <f t="shared" si="27"/>
        <v>-0.91776330977301157</v>
      </c>
      <c r="J52" s="9">
        <f t="shared" si="27"/>
        <v>-1.2875659837560978</v>
      </c>
      <c r="K52" s="9">
        <f t="shared" si="27"/>
        <v>-1.3087795843239207</v>
      </c>
      <c r="L52" s="9">
        <f t="shared" si="27"/>
        <v>-1.6904786053754621</v>
      </c>
      <c r="M52" s="9">
        <f t="shared" si="27"/>
        <v>-2.1541823800500759</v>
      </c>
      <c r="N52" s="20"/>
      <c r="O52" s="20">
        <f>RSQ(D52:M52,D$47:M$47)</f>
        <v>0.9920716600661682</v>
      </c>
      <c r="P52" s="1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1A429-CB7B-4C9C-8BD1-83A0AB7FF1D9}">
  <dimension ref="A1:U53"/>
  <sheetViews>
    <sheetView zoomScale="80" zoomScaleNormal="80" workbookViewId="0">
      <selection activeCell="AB33" sqref="AB33"/>
    </sheetView>
  </sheetViews>
  <sheetFormatPr baseColWidth="10" defaultRowHeight="15" x14ac:dyDescent="0.25"/>
  <cols>
    <col min="1" max="1" width="6.7109375" bestFit="1" customWidth="1"/>
    <col min="2" max="2" width="11.5703125" customWidth="1"/>
    <col min="3" max="3" width="17.42578125" bestFit="1" customWidth="1"/>
    <col min="4" max="4" width="13.28515625" bestFit="1" customWidth="1"/>
    <col min="14" max="14" width="14.42578125" style="6" bestFit="1" customWidth="1"/>
    <col min="15" max="15" width="14.5703125" style="6" bestFit="1" customWidth="1"/>
    <col min="16" max="18" width="11.42578125" style="6"/>
  </cols>
  <sheetData>
    <row r="1" spans="1:18" ht="23.25" x14ac:dyDescent="0.35">
      <c r="A1" s="15" t="s">
        <v>51</v>
      </c>
    </row>
    <row r="2" spans="1:18" x14ac:dyDescent="0.25">
      <c r="C2" t="s">
        <v>22</v>
      </c>
      <c r="D2" s="9">
        <v>0.10909900990099008</v>
      </c>
      <c r="E2" s="9">
        <v>0.30465346534653476</v>
      </c>
      <c r="F2" s="9">
        <v>0.48706435643564355</v>
      </c>
      <c r="G2" s="9">
        <v>0.6555742574257426</v>
      </c>
      <c r="H2" s="9">
        <v>0.82512871287128686</v>
      </c>
      <c r="I2" s="9">
        <v>1.0610643564356435</v>
      </c>
      <c r="J2" s="9">
        <v>1.5150346534653467</v>
      </c>
      <c r="K2" s="9">
        <v>1.9532326732673269</v>
      </c>
      <c r="L2" s="9">
        <v>2.8119356435643561</v>
      </c>
      <c r="M2" s="9">
        <v>3.6759999999999988</v>
      </c>
      <c r="N2" s="9">
        <v>4.528841584158414</v>
      </c>
      <c r="O2" s="9">
        <v>5.3743019801980179</v>
      </c>
      <c r="P2" s="9">
        <v>6.2436237623762363</v>
      </c>
    </row>
    <row r="3" spans="1:18" x14ac:dyDescent="0.25">
      <c r="C3" t="s">
        <v>6</v>
      </c>
      <c r="D3" s="11">
        <v>19.5</v>
      </c>
      <c r="E3" s="11">
        <v>18.648484848484856</v>
      </c>
      <c r="F3" s="11">
        <v>17.888545454545454</v>
      </c>
      <c r="G3" s="11">
        <v>17.198181818181819</v>
      </c>
      <c r="H3" s="11">
        <v>16.835959595959594</v>
      </c>
      <c r="I3" s="11">
        <v>16.237500000000001</v>
      </c>
      <c r="J3" s="11">
        <v>15.456414141414145</v>
      </c>
      <c r="K3" s="11">
        <v>14.945189393939396</v>
      </c>
      <c r="L3" s="11">
        <v>14.343712121212119</v>
      </c>
      <c r="M3" s="11">
        <v>14.063484848484844</v>
      </c>
      <c r="N3" s="9">
        <v>13.860999999999997</v>
      </c>
      <c r="O3" s="9">
        <v>13.70718434343434</v>
      </c>
      <c r="P3" s="9">
        <v>13.649480519480518</v>
      </c>
    </row>
    <row r="4" spans="1:18" x14ac:dyDescent="0.25">
      <c r="C4" t="s">
        <v>8</v>
      </c>
      <c r="D4" s="12">
        <v>5.5651515151515148E-6</v>
      </c>
      <c r="E4" s="12">
        <v>5.1801346801346818E-6</v>
      </c>
      <c r="F4" s="12">
        <v>4.9690404040404041E-6</v>
      </c>
      <c r="G4" s="12">
        <v>4.7772727272727284E-6</v>
      </c>
      <c r="H4" s="12">
        <v>4.6766554433221096E-6</v>
      </c>
      <c r="I4" s="12">
        <v>4.5104166666666676E-6</v>
      </c>
      <c r="J4" s="12">
        <v>4.2934483726150399E-6</v>
      </c>
      <c r="K4" s="12">
        <v>4.1514414983164991E-6</v>
      </c>
      <c r="L4" s="12">
        <v>3.9843644781144778E-6</v>
      </c>
      <c r="M4" s="12">
        <v>3.9065235690235679E-6</v>
      </c>
      <c r="N4" s="12">
        <v>3.8502777777777765E-6</v>
      </c>
      <c r="O4" s="12">
        <v>3.807551206509539E-6</v>
      </c>
      <c r="P4" s="12">
        <v>3.7915223665223661E-6</v>
      </c>
    </row>
    <row r="5" spans="1:18" x14ac:dyDescent="0.25">
      <c r="C5" t="s">
        <v>23</v>
      </c>
      <c r="D5" s="12">
        <v>3.6666666666666666E-5</v>
      </c>
      <c r="E5" s="12">
        <v>3.6666666666666666E-5</v>
      </c>
      <c r="F5" s="12">
        <v>3.6666666666666666E-5</v>
      </c>
      <c r="G5" s="12">
        <v>3.6666666666666666E-5</v>
      </c>
      <c r="H5" s="12">
        <v>3.6666666666666666E-5</v>
      </c>
      <c r="I5" s="12">
        <v>3.6666666666666666E-5</v>
      </c>
      <c r="J5" s="12">
        <v>3.6666666666666666E-5</v>
      </c>
      <c r="K5" s="12">
        <v>3.6666666666666666E-5</v>
      </c>
      <c r="L5" s="12">
        <v>3.6666666666666666E-5</v>
      </c>
      <c r="M5" s="12">
        <v>3.6666666666666666E-5</v>
      </c>
      <c r="N5" s="12">
        <v>3.6666666666666666E-5</v>
      </c>
      <c r="O5" s="12">
        <v>3.6666666666666666E-5</v>
      </c>
      <c r="P5" s="12">
        <v>3.6666666666666666E-5</v>
      </c>
    </row>
    <row r="6" spans="1:18" x14ac:dyDescent="0.25">
      <c r="C6" t="s">
        <v>24</v>
      </c>
      <c r="D6" s="12">
        <v>3.7444444444444445E-6</v>
      </c>
      <c r="E6" s="12">
        <v>3.7444444444444445E-6</v>
      </c>
      <c r="F6" s="12">
        <v>3.7444444444444445E-6</v>
      </c>
      <c r="G6" s="12">
        <v>3.7444444444444445E-6</v>
      </c>
      <c r="H6" s="12">
        <v>3.7444444444444445E-6</v>
      </c>
      <c r="I6" s="12">
        <v>3.7444444444444445E-6</v>
      </c>
      <c r="J6" s="12">
        <v>3.7444444444444445E-6</v>
      </c>
      <c r="K6" s="12">
        <v>3.7444444444444445E-6</v>
      </c>
      <c r="L6" s="12">
        <v>3.7444444444444445E-6</v>
      </c>
      <c r="M6" s="12">
        <v>3.7444444444444445E-6</v>
      </c>
      <c r="N6" s="12">
        <v>3.7444444444444445E-6</v>
      </c>
      <c r="O6" s="12">
        <v>3.7444444444444445E-6</v>
      </c>
      <c r="P6" s="12">
        <v>3.7444444444444445E-6</v>
      </c>
    </row>
    <row r="7" spans="1:18" x14ac:dyDescent="0.25">
      <c r="B7" s="6" t="s">
        <v>25</v>
      </c>
      <c r="D7" s="8"/>
      <c r="E7" s="8"/>
      <c r="F7" s="8"/>
      <c r="G7" s="8"/>
      <c r="H7" s="8"/>
      <c r="I7" s="8"/>
      <c r="J7" s="8"/>
      <c r="K7" s="8"/>
      <c r="L7" s="8"/>
      <c r="M7" s="8"/>
    </row>
    <row r="8" spans="1:18" x14ac:dyDescent="0.25">
      <c r="A8" s="6" t="s">
        <v>26</v>
      </c>
      <c r="B8" s="16">
        <v>5.17</v>
      </c>
      <c r="C8" s="17" t="s">
        <v>27</v>
      </c>
      <c r="D8" s="10">
        <v>2.4190324063453508</v>
      </c>
      <c r="E8" s="10">
        <v>2.1977010079057542</v>
      </c>
      <c r="F8" s="10">
        <v>1.9942594935108382</v>
      </c>
      <c r="G8" s="10">
        <v>1.69560791050409</v>
      </c>
      <c r="H8" s="10">
        <v>1.4705187235489585</v>
      </c>
      <c r="I8" s="10">
        <v>1.1371241529386125</v>
      </c>
      <c r="J8" s="10">
        <v>0.8511412435120066</v>
      </c>
      <c r="K8" s="10">
        <v>0.64286240673688833</v>
      </c>
      <c r="L8" s="10">
        <v>0.41364157509253069</v>
      </c>
      <c r="M8" s="10">
        <v>0.24532835985046991</v>
      </c>
      <c r="N8" s="10">
        <v>0.16991697618261187</v>
      </c>
      <c r="O8" s="10">
        <v>0.12804259875419233</v>
      </c>
      <c r="P8" s="10">
        <v>0.1064203752955193</v>
      </c>
    </row>
    <row r="9" spans="1:18" x14ac:dyDescent="0.25">
      <c r="A9" s="6" t="s">
        <v>26</v>
      </c>
      <c r="B9" s="16"/>
      <c r="C9" t="s">
        <v>28</v>
      </c>
      <c r="D9" s="10">
        <f t="shared" ref="D9:P9" si="0">D8/$B$8</f>
        <v>0.46789795093720521</v>
      </c>
      <c r="E9" s="10">
        <f t="shared" si="0"/>
        <v>0.42508723557171263</v>
      </c>
      <c r="F9" s="10">
        <f t="shared" si="0"/>
        <v>0.3857368459402008</v>
      </c>
      <c r="G9" s="10">
        <f t="shared" si="0"/>
        <v>0.3279705823025319</v>
      </c>
      <c r="H9" s="10">
        <f t="shared" si="0"/>
        <v>0.28443302196304809</v>
      </c>
      <c r="I9" s="10">
        <f t="shared" si="0"/>
        <v>0.21994664466897726</v>
      </c>
      <c r="J9" s="10">
        <f t="shared" si="0"/>
        <v>0.16463080145299935</v>
      </c>
      <c r="K9" s="10">
        <f t="shared" si="0"/>
        <v>0.12434475952357608</v>
      </c>
      <c r="L9" s="10">
        <f t="shared" si="0"/>
        <v>8.0008041603971125E-2</v>
      </c>
      <c r="M9" s="10">
        <f t="shared" si="0"/>
        <v>4.7452293974945825E-2</v>
      </c>
      <c r="N9" s="10">
        <f t="shared" si="0"/>
        <v>3.2865952839963609E-2</v>
      </c>
      <c r="O9" s="10">
        <f t="shared" si="0"/>
        <v>2.4766460107193872E-2</v>
      </c>
      <c r="P9" s="10">
        <f t="shared" si="0"/>
        <v>2.0584211855999866E-2</v>
      </c>
    </row>
    <row r="10" spans="1:18" s="6" customFormat="1" x14ac:dyDescent="0.25">
      <c r="A10" s="6" t="s">
        <v>26</v>
      </c>
      <c r="B10" s="16"/>
      <c r="C10" t="s">
        <v>29</v>
      </c>
      <c r="D10" s="10">
        <f>100*(1-D9)</f>
        <v>53.210204906279479</v>
      </c>
      <c r="E10" s="10">
        <f t="shared" ref="E10:P10" si="1">100*(1-E9)</f>
        <v>57.491276442828742</v>
      </c>
      <c r="F10" s="10">
        <f t="shared" si="1"/>
        <v>61.426315405979913</v>
      </c>
      <c r="G10" s="10">
        <f t="shared" si="1"/>
        <v>67.202941769746815</v>
      </c>
      <c r="H10" s="10">
        <f t="shared" si="1"/>
        <v>71.556697803695187</v>
      </c>
      <c r="I10" s="10">
        <f t="shared" si="1"/>
        <v>78.005335533102269</v>
      </c>
      <c r="J10" s="10">
        <f t="shared" si="1"/>
        <v>83.536919854700059</v>
      </c>
      <c r="K10" s="10">
        <f t="shared" si="1"/>
        <v>87.565524047642398</v>
      </c>
      <c r="L10" s="10">
        <f t="shared" si="1"/>
        <v>91.999195839602891</v>
      </c>
      <c r="M10" s="10">
        <f t="shared" si="1"/>
        <v>95.254770602505417</v>
      </c>
      <c r="N10" s="10">
        <f t="shared" si="1"/>
        <v>96.713404716003637</v>
      </c>
      <c r="O10" s="10">
        <f t="shared" si="1"/>
        <v>97.523353989280608</v>
      </c>
      <c r="P10" s="10">
        <f t="shared" si="1"/>
        <v>97.941578814400003</v>
      </c>
    </row>
    <row r="11" spans="1:18" s="6" customFormat="1" x14ac:dyDescent="0.25">
      <c r="A11" s="6" t="s">
        <v>30</v>
      </c>
      <c r="B11" s="16">
        <v>0.32399999999999995</v>
      </c>
      <c r="C11" s="17" t="s">
        <v>27</v>
      </c>
      <c r="D11" s="10">
        <v>0.30814650402156563</v>
      </c>
      <c r="E11" s="10">
        <v>0.24250949667959323</v>
      </c>
      <c r="F11" s="10">
        <v>0.20306558496393803</v>
      </c>
      <c r="G11" s="10">
        <v>0.17618164248349294</v>
      </c>
      <c r="H11" s="10">
        <v>0.14914304394533423</v>
      </c>
      <c r="I11" s="10">
        <v>0.11567243140240491</v>
      </c>
      <c r="J11" s="10">
        <v>7.0076115422090662E-2</v>
      </c>
      <c r="K11" s="10">
        <v>4.4641181314999688E-2</v>
      </c>
      <c r="L11" s="10">
        <v>1.6869214379316627E-2</v>
      </c>
      <c r="M11" s="10">
        <v>5.9813332441493207E-3</v>
      </c>
      <c r="N11" s="10">
        <v>3.2835760232427366E-3</v>
      </c>
      <c r="O11" s="10">
        <v>2.0158230297133047E-3</v>
      </c>
      <c r="P11" s="10">
        <v>1.0764486799538981E-3</v>
      </c>
    </row>
    <row r="12" spans="1:18" s="6" customFormat="1" x14ac:dyDescent="0.25">
      <c r="A12" s="6" t="s">
        <v>30</v>
      </c>
      <c r="B12" s="16"/>
      <c r="C12" s="17" t="s">
        <v>31</v>
      </c>
      <c r="D12" s="10">
        <v>0.35810168974034351</v>
      </c>
      <c r="E12" s="10">
        <v>0.28231606132665105</v>
      </c>
      <c r="F12" s="10">
        <v>0.2369493406813746</v>
      </c>
      <c r="G12" s="10">
        <v>0.20438705624535145</v>
      </c>
      <c r="H12" s="10">
        <v>0.17322072467518493</v>
      </c>
      <c r="I12" s="10">
        <v>0.13442467333225439</v>
      </c>
      <c r="J12" s="10">
        <v>8.1483855141965891E-2</v>
      </c>
      <c r="K12" s="10">
        <v>5.1787913358468315E-2</v>
      </c>
      <c r="L12" s="10">
        <v>1.9592583483526861E-2</v>
      </c>
      <c r="M12" s="10">
        <v>6.9712508673069008E-3</v>
      </c>
      <c r="N12" s="10">
        <v>3.8247827877026632E-3</v>
      </c>
      <c r="O12" s="10">
        <v>2.3467089985021007E-3</v>
      </c>
      <c r="P12" s="10">
        <v>1.2502307548825763E-3</v>
      </c>
    </row>
    <row r="13" spans="1:18" s="6" customFormat="1" x14ac:dyDescent="0.25">
      <c r="A13" s="6" t="s">
        <v>30</v>
      </c>
      <c r="B13" s="16"/>
      <c r="C13" s="17" t="s">
        <v>32</v>
      </c>
      <c r="D13" s="10">
        <f>D11/D12</f>
        <v>0.86050000000000015</v>
      </c>
      <c r="E13" s="10">
        <f t="shared" ref="E13:P13" si="2">E11/E12</f>
        <v>0.85899999999999999</v>
      </c>
      <c r="F13" s="10">
        <f t="shared" si="2"/>
        <v>0.85699999999999998</v>
      </c>
      <c r="G13" s="10">
        <f t="shared" si="2"/>
        <v>0.86199999999999999</v>
      </c>
      <c r="H13" s="10">
        <f t="shared" si="2"/>
        <v>0.86099999999999999</v>
      </c>
      <c r="I13" s="10">
        <f t="shared" si="2"/>
        <v>0.86050000000000004</v>
      </c>
      <c r="J13" s="10">
        <f t="shared" si="2"/>
        <v>0.86</v>
      </c>
      <c r="K13" s="10">
        <f t="shared" si="2"/>
        <v>0.86199999999999999</v>
      </c>
      <c r="L13" s="10">
        <f t="shared" si="2"/>
        <v>0.86099999999999999</v>
      </c>
      <c r="M13" s="10">
        <f t="shared" si="2"/>
        <v>0.85799999999999998</v>
      </c>
      <c r="N13" s="10">
        <f t="shared" si="2"/>
        <v>0.85850000000000004</v>
      </c>
      <c r="O13" s="10">
        <f t="shared" si="2"/>
        <v>0.8590000000000001</v>
      </c>
      <c r="P13" s="10">
        <f t="shared" si="2"/>
        <v>0.86099999999999988</v>
      </c>
      <c r="Q13" s="9">
        <f>AVERAGE(D13:M13)</f>
        <v>0.86010000000000009</v>
      </c>
      <c r="R13" s="10">
        <f>STDEV(D13:P13)</f>
        <v>1.5473302069147175E-3</v>
      </c>
    </row>
    <row r="14" spans="1:18" s="6" customFormat="1" x14ac:dyDescent="0.25">
      <c r="A14" s="6" t="s">
        <v>30</v>
      </c>
      <c r="B14"/>
      <c r="C14" t="s">
        <v>28</v>
      </c>
      <c r="D14" s="10">
        <f>D11/$B$11</f>
        <v>0.9510694568566842</v>
      </c>
      <c r="E14" s="10">
        <f t="shared" ref="E14:P14" si="3">E11/$B$11</f>
        <v>0.74848610086294221</v>
      </c>
      <c r="F14" s="10">
        <f t="shared" si="3"/>
        <v>0.62674563260474714</v>
      </c>
      <c r="G14" s="10">
        <f t="shared" si="3"/>
        <v>0.54377050149226225</v>
      </c>
      <c r="H14" s="10">
        <f t="shared" si="3"/>
        <v>0.46031803686831557</v>
      </c>
      <c r="I14" s="10">
        <f t="shared" si="3"/>
        <v>0.35701367716791643</v>
      </c>
      <c r="J14" s="10">
        <f t="shared" si="3"/>
        <v>0.21628430685830455</v>
      </c>
      <c r="K14" s="10">
        <f t="shared" si="3"/>
        <v>0.13778142381172745</v>
      </c>
      <c r="L14" s="10">
        <f t="shared" si="3"/>
        <v>5.2065476479372312E-2</v>
      </c>
      <c r="M14" s="10">
        <f t="shared" si="3"/>
        <v>1.8460905074534944E-2</v>
      </c>
      <c r="N14" s="10">
        <f t="shared" si="3"/>
        <v>1.0134493898897336E-2</v>
      </c>
      <c r="O14" s="10">
        <f t="shared" si="3"/>
        <v>6.2216760176336573E-3</v>
      </c>
      <c r="P14" s="10">
        <f t="shared" si="3"/>
        <v>3.3223724689935134E-3</v>
      </c>
    </row>
    <row r="15" spans="1:18" s="6" customFormat="1" x14ac:dyDescent="0.25">
      <c r="A15" s="6" t="s">
        <v>33</v>
      </c>
      <c r="B15" s="16">
        <v>0.09</v>
      </c>
      <c r="C15" s="17" t="s">
        <v>27</v>
      </c>
      <c r="D15" s="10">
        <v>0.17253085100624649</v>
      </c>
      <c r="E15" s="10">
        <v>0.14345170240061975</v>
      </c>
      <c r="F15" s="10">
        <v>0.11996405016640034</v>
      </c>
      <c r="G15" s="10">
        <v>0.101782220887596</v>
      </c>
      <c r="H15" s="10">
        <v>8.6122903452711647E-2</v>
      </c>
      <c r="I15" s="10">
        <v>6.8118713516164817E-2</v>
      </c>
      <c r="J15" s="10">
        <v>4.7581083316157798E-2</v>
      </c>
      <c r="K15" s="10">
        <v>3.0209199678005311E-2</v>
      </c>
      <c r="L15" s="10">
        <v>1.3932890589548864E-2</v>
      </c>
      <c r="M15" s="10">
        <v>6.4892375324745281E-3</v>
      </c>
      <c r="N15" s="10">
        <v>2.8905070801065521E-3</v>
      </c>
      <c r="O15" s="10">
        <v>1.2479584891540163E-3</v>
      </c>
      <c r="P15" s="10">
        <v>3.0066734897564966E-4</v>
      </c>
    </row>
    <row r="16" spans="1:18" s="6" customFormat="1" x14ac:dyDescent="0.25">
      <c r="A16" s="6" t="s">
        <v>33</v>
      </c>
      <c r="B16" s="16"/>
      <c r="C16" s="17" t="s">
        <v>31</v>
      </c>
      <c r="D16" s="10">
        <v>0.20038426365417711</v>
      </c>
      <c r="E16" s="10">
        <v>0.16670738222035994</v>
      </c>
      <c r="F16" s="10">
        <v>0.13981824028717987</v>
      </c>
      <c r="G16" s="10">
        <v>0.11828265065380128</v>
      </c>
      <c r="H16" s="10">
        <v>9.9564050234348722E-2</v>
      </c>
      <c r="I16" s="10">
        <v>7.9161782122213614E-2</v>
      </c>
      <c r="J16" s="10">
        <v>5.5294692987981169E-2</v>
      </c>
      <c r="K16" s="10">
        <v>3.5106565575834178E-2</v>
      </c>
      <c r="L16" s="10">
        <v>1.6126030774940816E-2</v>
      </c>
      <c r="M16" s="10">
        <v>7.5412405955543613E-3</v>
      </c>
      <c r="N16" s="10">
        <v>3.3728203968571204E-3</v>
      </c>
      <c r="O16" s="10">
        <v>1.4502713412597515E-3</v>
      </c>
      <c r="P16" s="10">
        <v>3.4920714166742121E-4</v>
      </c>
    </row>
    <row r="17" spans="1:18" x14ac:dyDescent="0.25">
      <c r="A17" s="6" t="s">
        <v>34</v>
      </c>
      <c r="B17" s="16">
        <v>0.29599999999999999</v>
      </c>
      <c r="C17" s="17" t="s">
        <v>27</v>
      </c>
      <c r="D17" s="10">
        <v>0.37155893158411873</v>
      </c>
      <c r="E17" s="10">
        <v>0.24960020397682181</v>
      </c>
      <c r="F17" s="10">
        <v>0.21315197969486008</v>
      </c>
      <c r="G17" s="10">
        <v>0.161627110273977</v>
      </c>
      <c r="H17" s="10">
        <v>0.13103553804100035</v>
      </c>
      <c r="I17" s="10">
        <v>0.10749218506863416</v>
      </c>
      <c r="J17" s="10">
        <v>4.5824085786669203E-2</v>
      </c>
      <c r="K17" s="10">
        <v>4.5061117881894562E-2</v>
      </c>
      <c r="L17" s="10">
        <v>1.2474825225991268E-2</v>
      </c>
      <c r="M17" s="10">
        <v>6.5508025200438419E-3</v>
      </c>
      <c r="N17" s="10">
        <v>5.0048811629594134E-3</v>
      </c>
      <c r="O17" s="10">
        <v>2.2225184196822847E-3</v>
      </c>
      <c r="P17" s="10">
        <v>1E-3</v>
      </c>
    </row>
    <row r="18" spans="1:18" x14ac:dyDescent="0.25">
      <c r="A18" s="6" t="s">
        <v>34</v>
      </c>
      <c r="B18" s="16"/>
      <c r="C18" s="17" t="s">
        <v>31</v>
      </c>
      <c r="D18" s="10">
        <v>0.441543474546015</v>
      </c>
      <c r="E18" s="10">
        <v>0.29006415337225078</v>
      </c>
      <c r="F18" s="10">
        <v>0.24842888076324018</v>
      </c>
      <c r="G18" s="10">
        <v>0.197829297238788</v>
      </c>
      <c r="H18" s="10">
        <v>0.15148617114566515</v>
      </c>
      <c r="I18" s="10">
        <v>0.12491828596006294</v>
      </c>
      <c r="J18" s="10">
        <v>5.92528597172216E-2</v>
      </c>
      <c r="K18" s="10">
        <v>5.2366203232881534E-2</v>
      </c>
      <c r="L18" s="10">
        <v>1.4438455122675078E-2</v>
      </c>
      <c r="M18" s="10">
        <v>7.6127861941241619E-3</v>
      </c>
      <c r="N18" s="10">
        <v>5.8400013570121508E-3</v>
      </c>
      <c r="O18" s="10">
        <v>2.5828221030590177E-3</v>
      </c>
      <c r="P18" s="10">
        <v>1.1614401858304297E-3</v>
      </c>
    </row>
    <row r="19" spans="1:18" x14ac:dyDescent="0.25">
      <c r="A19" s="6" t="s">
        <v>35</v>
      </c>
      <c r="B19" s="16">
        <v>0.188</v>
      </c>
      <c r="C19" s="17" t="s">
        <v>27</v>
      </c>
      <c r="D19" s="10">
        <v>8.0614972690783882E-2</v>
      </c>
      <c r="E19" s="10">
        <v>6.7027751871772373E-2</v>
      </c>
      <c r="F19" s="10">
        <v>5.6053155546598774E-2</v>
      </c>
      <c r="G19" s="10">
        <v>4.7893950968821798E-2</v>
      </c>
      <c r="H19" s="10">
        <v>4.0240892973048649E-2</v>
      </c>
      <c r="I19" s="10">
        <v>3.1828442262990649E-2</v>
      </c>
      <c r="J19" s="10">
        <v>2.2232242580146434E-2</v>
      </c>
      <c r="K19" s="10">
        <v>1.4115236740846223E-2</v>
      </c>
      <c r="L19" s="10">
        <v>6.510137681634086E-3</v>
      </c>
      <c r="M19" s="10">
        <v>3.0320937004217519E-3</v>
      </c>
      <c r="N19" s="10">
        <v>1.3505883032876871E-3</v>
      </c>
      <c r="O19" s="10">
        <v>5.8310811623331392E-4</v>
      </c>
      <c r="P19" s="10">
        <v>1.4048670127874601E-4</v>
      </c>
    </row>
    <row r="20" spans="1:18" x14ac:dyDescent="0.25">
      <c r="A20" s="6" t="s">
        <v>35</v>
      </c>
      <c r="C20" s="17" t="s">
        <v>31</v>
      </c>
      <c r="D20" s="10">
        <v>9.3629468862699045E-2</v>
      </c>
      <c r="E20" s="10">
        <v>7.7893959176958016E-2</v>
      </c>
      <c r="F20" s="10">
        <v>6.5330018119578989E-2</v>
      </c>
      <c r="G20" s="10">
        <v>5.565828119560929E-2</v>
      </c>
      <c r="H20" s="10">
        <v>4.6521263552657399E-2</v>
      </c>
      <c r="I20" s="10">
        <v>3.6988311752458626E-2</v>
      </c>
      <c r="J20" s="10">
        <v>2.5836423684074877E-2</v>
      </c>
      <c r="K20" s="10">
        <v>1.6403529042238491E-2</v>
      </c>
      <c r="L20" s="10">
        <v>7.63488157596538E-3</v>
      </c>
      <c r="M20" s="10">
        <v>3.7236417204204002E-3</v>
      </c>
      <c r="N20" s="10">
        <v>1.5759490120043024E-3</v>
      </c>
      <c r="O20" s="10">
        <v>6.7763871729612304E-4</v>
      </c>
      <c r="P20" s="10">
        <v>1.6316690043989082E-4</v>
      </c>
    </row>
    <row r="21" spans="1:18" x14ac:dyDescent="0.25">
      <c r="A21" s="6" t="s">
        <v>36</v>
      </c>
      <c r="B21" s="16">
        <v>0.124</v>
      </c>
      <c r="C21" s="17" t="s">
        <v>27</v>
      </c>
      <c r="D21" s="10">
        <v>0.11513438918803387</v>
      </c>
      <c r="E21" s="10">
        <v>8.6383081908736267E-2</v>
      </c>
      <c r="F21" s="10">
        <v>7.2099229845060273E-2</v>
      </c>
      <c r="G21" s="10">
        <v>6.3763898298920596E-2</v>
      </c>
      <c r="H21" s="10">
        <v>4.9452585121179331E-2</v>
      </c>
      <c r="I21" s="10">
        <v>4.0842013553912287E-2</v>
      </c>
      <c r="J21" s="10">
        <v>2.876109984669056E-2</v>
      </c>
      <c r="K21" s="10">
        <v>1.8136433745537972E-2</v>
      </c>
      <c r="L21" s="10">
        <v>8.5340278294799028E-3</v>
      </c>
      <c r="M21" s="10">
        <v>3.9664689411751343E-3</v>
      </c>
      <c r="N21" s="10">
        <v>1.7601166621434986E-3</v>
      </c>
      <c r="O21" s="10">
        <v>8.9690334378898827E-4</v>
      </c>
      <c r="P21" s="10">
        <v>0</v>
      </c>
    </row>
    <row r="22" spans="1:18" x14ac:dyDescent="0.25">
      <c r="A22" s="6" t="s">
        <v>36</v>
      </c>
      <c r="B22" s="16"/>
      <c r="C22" s="17" t="s">
        <v>31</v>
      </c>
      <c r="D22" s="10">
        <v>0.13372170637402309</v>
      </c>
      <c r="E22" s="10">
        <v>0.10038707949882192</v>
      </c>
      <c r="F22" s="10">
        <v>8.4031736416154162E-2</v>
      </c>
      <c r="G22" s="10">
        <v>7.4100985820942003E-2</v>
      </c>
      <c r="H22" s="10">
        <v>5.7170618637201541E-2</v>
      </c>
      <c r="I22" s="10">
        <v>4.7463118598387317E-2</v>
      </c>
      <c r="J22" s="10">
        <v>3.3423706968844343E-2</v>
      </c>
      <c r="K22" s="10">
        <v>2.1076622597952319E-2</v>
      </c>
      <c r="L22" s="10">
        <v>9.8773470248609985E-3</v>
      </c>
      <c r="M22" s="10">
        <v>4.6094932494772037E-3</v>
      </c>
      <c r="N22" s="10">
        <v>2.0538117411242692E-3</v>
      </c>
      <c r="O22" s="10">
        <v>1.0423048736652972E-3</v>
      </c>
      <c r="P22" s="10">
        <v>0</v>
      </c>
    </row>
    <row r="23" spans="1:18" x14ac:dyDescent="0.25">
      <c r="A23" s="18" t="s">
        <v>37</v>
      </c>
      <c r="B23" s="16">
        <v>0.69800000000000006</v>
      </c>
      <c r="C23" t="s">
        <v>27</v>
      </c>
      <c r="D23" s="10">
        <f t="shared" ref="D23:P24" si="4">SUM(D15,D17,D19,D21)</f>
        <v>0.73983914446918297</v>
      </c>
      <c r="E23" s="10">
        <f t="shared" si="4"/>
        <v>0.54646274015795016</v>
      </c>
      <c r="F23" s="10">
        <f t="shared" si="4"/>
        <v>0.46126841525291951</v>
      </c>
      <c r="G23" s="10">
        <f t="shared" si="4"/>
        <v>0.37506718042931542</v>
      </c>
      <c r="H23" s="10">
        <f t="shared" si="4"/>
        <v>0.30685191958794</v>
      </c>
      <c r="I23" s="10">
        <f t="shared" si="4"/>
        <v>0.2482813544017019</v>
      </c>
      <c r="J23" s="10">
        <f t="shared" si="4"/>
        <v>0.14439851152966399</v>
      </c>
      <c r="K23" s="10">
        <f t="shared" si="4"/>
        <v>0.10752198804628407</v>
      </c>
      <c r="L23" s="10">
        <f t="shared" si="4"/>
        <v>4.1451881326654123E-2</v>
      </c>
      <c r="M23" s="10">
        <f t="shared" si="4"/>
        <v>2.0038602694115257E-2</v>
      </c>
      <c r="N23" s="10">
        <f t="shared" si="4"/>
        <v>1.1006093208497152E-2</v>
      </c>
      <c r="O23" s="10">
        <f t="shared" si="4"/>
        <v>4.9504883688586028E-3</v>
      </c>
      <c r="P23" s="10">
        <f t="shared" si="4"/>
        <v>1.4411540502543957E-3</v>
      </c>
      <c r="Q23"/>
    </row>
    <row r="24" spans="1:18" x14ac:dyDescent="0.25">
      <c r="A24" s="18" t="s">
        <v>37</v>
      </c>
      <c r="B24" s="16"/>
      <c r="C24" t="s">
        <v>31</v>
      </c>
      <c r="D24" s="10">
        <f t="shared" si="4"/>
        <v>0.86927891343691432</v>
      </c>
      <c r="E24" s="10">
        <f t="shared" si="4"/>
        <v>0.63505257426839079</v>
      </c>
      <c r="F24" s="10">
        <f t="shared" si="4"/>
        <v>0.53760887558615322</v>
      </c>
      <c r="G24" s="10">
        <f t="shared" si="4"/>
        <v>0.44587121490914056</v>
      </c>
      <c r="H24" s="10">
        <f t="shared" si="4"/>
        <v>0.35474210356987279</v>
      </c>
      <c r="I24" s="10">
        <f t="shared" si="4"/>
        <v>0.28853149843312248</v>
      </c>
      <c r="J24" s="10">
        <f t="shared" si="4"/>
        <v>0.17380768335812197</v>
      </c>
      <c r="K24" s="10">
        <f t="shared" si="4"/>
        <v>0.12495292044890652</v>
      </c>
      <c r="L24" s="10">
        <f t="shared" si="4"/>
        <v>4.8076714498442273E-2</v>
      </c>
      <c r="M24" s="10">
        <f t="shared" si="4"/>
        <v>2.3487161759576124E-2</v>
      </c>
      <c r="N24" s="10">
        <f t="shared" si="4"/>
        <v>1.2842582506997843E-2</v>
      </c>
      <c r="O24" s="10">
        <f t="shared" si="4"/>
        <v>5.7530370352801893E-3</v>
      </c>
      <c r="P24" s="10">
        <f t="shared" si="4"/>
        <v>1.6738142279377416E-3</v>
      </c>
    </row>
    <row r="25" spans="1:18" x14ac:dyDescent="0.25">
      <c r="A25" s="18" t="s">
        <v>37</v>
      </c>
      <c r="C25" t="s">
        <v>32</v>
      </c>
      <c r="D25" s="10">
        <f t="shared" ref="D25:P25" si="5">D23/D24</f>
        <v>0.85109523886187644</v>
      </c>
      <c r="E25" s="10">
        <f t="shared" si="5"/>
        <v>0.86049999999999982</v>
      </c>
      <c r="F25" s="10">
        <f t="shared" si="5"/>
        <v>0.8580000000000001</v>
      </c>
      <c r="G25" s="10">
        <f t="shared" si="5"/>
        <v>0.84120070524343327</v>
      </c>
      <c r="H25" s="10">
        <f t="shared" si="5"/>
        <v>0.8650000000000001</v>
      </c>
      <c r="I25" s="10">
        <f t="shared" si="5"/>
        <v>0.86050000000000004</v>
      </c>
      <c r="J25" s="10">
        <f t="shared" si="5"/>
        <v>0.83079475394731617</v>
      </c>
      <c r="K25" s="10">
        <f t="shared" si="5"/>
        <v>0.86050000000000015</v>
      </c>
      <c r="L25" s="10">
        <f t="shared" si="5"/>
        <v>0.86220287220328251</v>
      </c>
      <c r="M25" s="10">
        <f t="shared" si="5"/>
        <v>0.8531725927227104</v>
      </c>
      <c r="N25" s="10">
        <f t="shared" si="5"/>
        <v>0.85699999999999998</v>
      </c>
      <c r="O25" s="10">
        <f t="shared" si="5"/>
        <v>0.86050000000000004</v>
      </c>
      <c r="P25" s="10">
        <f t="shared" si="5"/>
        <v>0.8610000000000001</v>
      </c>
      <c r="Q25" s="9">
        <f>AVERAGE(D25:P25)</f>
        <v>0.85549739715220141</v>
      </c>
      <c r="R25" s="9">
        <f>STDEV(D25:P25)</f>
        <v>9.6331293205533519E-3</v>
      </c>
    </row>
    <row r="26" spans="1:18" x14ac:dyDescent="0.25">
      <c r="A26" s="18" t="s">
        <v>37</v>
      </c>
      <c r="B26" s="16"/>
      <c r="C26" t="s">
        <v>28</v>
      </c>
      <c r="D26" s="10">
        <f t="shared" ref="D26:P26" si="6">D23/$B$23</f>
        <v>1.0599414677208925</v>
      </c>
      <c r="E26" s="10">
        <f t="shared" si="6"/>
        <v>0.78289790853574515</v>
      </c>
      <c r="F26" s="10">
        <f t="shared" si="6"/>
        <v>0.66084300179501354</v>
      </c>
      <c r="G26" s="10">
        <f t="shared" si="6"/>
        <v>0.53734553070102486</v>
      </c>
      <c r="H26" s="10">
        <f t="shared" si="6"/>
        <v>0.43961593064174781</v>
      </c>
      <c r="I26" s="10">
        <f t="shared" si="6"/>
        <v>0.35570394613424339</v>
      </c>
      <c r="J26" s="10">
        <f t="shared" si="6"/>
        <v>0.20687465835195412</v>
      </c>
      <c r="K26" s="10">
        <f t="shared" si="6"/>
        <v>0.15404296281702587</v>
      </c>
      <c r="L26" s="10">
        <f t="shared" si="6"/>
        <v>5.9386649465120518E-2</v>
      </c>
      <c r="M26" s="10">
        <f t="shared" si="6"/>
        <v>2.8708599848302659E-2</v>
      </c>
      <c r="N26" s="10">
        <f t="shared" si="6"/>
        <v>1.5768041845984456E-2</v>
      </c>
      <c r="O26" s="10">
        <f t="shared" si="6"/>
        <v>7.0923902132644734E-3</v>
      </c>
      <c r="P26" s="10">
        <f t="shared" si="6"/>
        <v>2.0646906164103087E-3</v>
      </c>
    </row>
    <row r="27" spans="1:18" x14ac:dyDescent="0.25">
      <c r="A27" s="6" t="s">
        <v>38</v>
      </c>
      <c r="B27" s="16">
        <v>1.022</v>
      </c>
      <c r="C27" t="s">
        <v>27</v>
      </c>
      <c r="D27" s="10">
        <f t="shared" ref="D27:P27" si="7">D11+D23</f>
        <v>1.0479856484907486</v>
      </c>
      <c r="E27" s="10">
        <f t="shared" si="7"/>
        <v>0.78897223683754336</v>
      </c>
      <c r="F27" s="10">
        <f t="shared" si="7"/>
        <v>0.66433400021685751</v>
      </c>
      <c r="G27" s="10">
        <f t="shared" si="7"/>
        <v>0.5512488229128083</v>
      </c>
      <c r="H27" s="10">
        <f t="shared" si="7"/>
        <v>0.45599496353327423</v>
      </c>
      <c r="I27" s="10">
        <f t="shared" si="7"/>
        <v>0.36395378580410681</v>
      </c>
      <c r="J27" s="10">
        <f t="shared" si="7"/>
        <v>0.21447462695175465</v>
      </c>
      <c r="K27" s="10">
        <f t="shared" si="7"/>
        <v>0.15216316936128377</v>
      </c>
      <c r="L27" s="10">
        <f t="shared" si="7"/>
        <v>5.832109570597075E-2</v>
      </c>
      <c r="M27" s="10">
        <f t="shared" si="7"/>
        <v>2.6019935938264578E-2</v>
      </c>
      <c r="N27" s="10">
        <f t="shared" si="7"/>
        <v>1.4289669231739889E-2</v>
      </c>
      <c r="O27" s="10">
        <f t="shared" si="7"/>
        <v>6.9663113985719075E-3</v>
      </c>
      <c r="P27" s="10">
        <f t="shared" si="7"/>
        <v>2.5176027302082939E-3</v>
      </c>
    </row>
    <row r="28" spans="1:18" x14ac:dyDescent="0.25">
      <c r="A28" s="6" t="s">
        <v>38</v>
      </c>
      <c r="C28" t="s">
        <v>31</v>
      </c>
      <c r="D28" s="10">
        <f t="shared" ref="D28:P28" si="8">D24+D12</f>
        <v>1.2273806031772578</v>
      </c>
      <c r="E28" s="10">
        <f t="shared" si="8"/>
        <v>0.91736863559504189</v>
      </c>
      <c r="F28" s="10">
        <f t="shared" si="8"/>
        <v>0.77455821626752785</v>
      </c>
      <c r="G28" s="10">
        <f t="shared" si="8"/>
        <v>0.65025827115449197</v>
      </c>
      <c r="H28" s="10">
        <f t="shared" si="8"/>
        <v>0.52796282824505769</v>
      </c>
      <c r="I28" s="10">
        <f t="shared" si="8"/>
        <v>0.42295617176537686</v>
      </c>
      <c r="J28" s="10">
        <f t="shared" si="8"/>
        <v>0.25529153850008784</v>
      </c>
      <c r="K28" s="10">
        <f t="shared" si="8"/>
        <v>0.17674083380737482</v>
      </c>
      <c r="L28" s="10">
        <f t="shared" si="8"/>
        <v>6.7669297981969134E-2</v>
      </c>
      <c r="M28" s="10">
        <f t="shared" si="8"/>
        <v>3.0458412626883025E-2</v>
      </c>
      <c r="N28" s="10">
        <f t="shared" si="8"/>
        <v>1.6667365294700507E-2</v>
      </c>
      <c r="O28" s="10">
        <f t="shared" si="8"/>
        <v>8.0997460337822909E-3</v>
      </c>
      <c r="P28" s="10">
        <f t="shared" si="8"/>
        <v>2.924044982820318E-3</v>
      </c>
    </row>
    <row r="29" spans="1:18" x14ac:dyDescent="0.25">
      <c r="A29" s="6" t="s">
        <v>38</v>
      </c>
      <c r="C29" t="s">
        <v>32</v>
      </c>
      <c r="D29" s="10">
        <f>D27/D28</f>
        <v>0.85383918059148189</v>
      </c>
      <c r="E29" s="10">
        <f t="shared" ref="E29:P29" si="9">E27/E28</f>
        <v>0.86003838176327496</v>
      </c>
      <c r="F29" s="10">
        <f t="shared" si="9"/>
        <v>0.85769408453011675</v>
      </c>
      <c r="G29" s="10">
        <f t="shared" si="9"/>
        <v>0.8477382716472045</v>
      </c>
      <c r="H29" s="10">
        <f t="shared" si="9"/>
        <v>0.86368762939049359</v>
      </c>
      <c r="I29" s="10">
        <f t="shared" si="9"/>
        <v>0.86050000000000004</v>
      </c>
      <c r="J29" s="10">
        <f t="shared" si="9"/>
        <v>0.84011647315792592</v>
      </c>
      <c r="K29" s="10">
        <f t="shared" si="9"/>
        <v>0.86093952417992092</v>
      </c>
      <c r="L29" s="10">
        <f t="shared" si="9"/>
        <v>0.86185459943016896</v>
      </c>
      <c r="M29" s="10">
        <f t="shared" si="9"/>
        <v>0.85427747850848323</v>
      </c>
      <c r="N29" s="10">
        <f t="shared" si="9"/>
        <v>0.85734421602215549</v>
      </c>
      <c r="O29" s="10">
        <f t="shared" si="9"/>
        <v>0.86006541063348496</v>
      </c>
      <c r="P29" s="10">
        <f t="shared" si="9"/>
        <v>0.86099999999999999</v>
      </c>
    </row>
    <row r="30" spans="1:18" x14ac:dyDescent="0.25">
      <c r="A30" s="6" t="s">
        <v>38</v>
      </c>
      <c r="C30" t="s">
        <v>28</v>
      </c>
      <c r="D30" s="10">
        <f>D27/$B$27</f>
        <v>1.025426270538893</v>
      </c>
      <c r="E30" s="10">
        <f t="shared" ref="E30:P30" si="10">E27/$B$27</f>
        <v>0.77198849005630465</v>
      </c>
      <c r="F30" s="10">
        <f t="shared" si="10"/>
        <v>0.65003326831395059</v>
      </c>
      <c r="G30" s="10">
        <f t="shared" si="10"/>
        <v>0.53938240989511577</v>
      </c>
      <c r="H30" s="10">
        <f t="shared" si="10"/>
        <v>0.44617902498363426</v>
      </c>
      <c r="I30" s="10">
        <f t="shared" si="10"/>
        <v>0.35611916419188533</v>
      </c>
      <c r="J30" s="10">
        <f t="shared" si="10"/>
        <v>0.20985775631287149</v>
      </c>
      <c r="K30" s="10">
        <f t="shared" si="10"/>
        <v>0.14888764125370232</v>
      </c>
      <c r="L30" s="10">
        <f t="shared" si="10"/>
        <v>5.7065651375705233E-2</v>
      </c>
      <c r="M30" s="10">
        <f t="shared" si="10"/>
        <v>2.5459819900454577E-2</v>
      </c>
      <c r="N30" s="10">
        <f t="shared" si="10"/>
        <v>1.3982063827534138E-2</v>
      </c>
      <c r="O30" s="10">
        <f t="shared" si="10"/>
        <v>6.8163516620077368E-3</v>
      </c>
      <c r="P30" s="10">
        <f t="shared" si="10"/>
        <v>2.4634077594993089E-3</v>
      </c>
    </row>
    <row r="31" spans="1:18" x14ac:dyDescent="0.25">
      <c r="A31" s="6" t="s">
        <v>39</v>
      </c>
      <c r="B31" s="16">
        <v>0.47</v>
      </c>
      <c r="C31" s="17" t="s">
        <v>27</v>
      </c>
      <c r="D31" s="10">
        <v>0.39439913878403415</v>
      </c>
      <c r="E31" s="10">
        <v>0.32230827321426636</v>
      </c>
      <c r="F31" s="10">
        <v>0.29255681633066993</v>
      </c>
      <c r="G31" s="10">
        <v>0.21024171200667499</v>
      </c>
      <c r="H31" s="10">
        <v>0.1903266568661488</v>
      </c>
      <c r="I31" s="10">
        <v>0.15754143914783245</v>
      </c>
      <c r="J31" s="10">
        <v>0.10012839372903329</v>
      </c>
      <c r="K31" s="10">
        <v>6.0459417984360352E-2</v>
      </c>
      <c r="L31" s="10">
        <v>2.9109875241423874E-2</v>
      </c>
      <c r="M31" s="10">
        <v>1.2101628497972364E-2</v>
      </c>
      <c r="N31" s="10">
        <v>5.330973791393293E-3</v>
      </c>
      <c r="O31" s="10">
        <v>1.5655394048872705E-4</v>
      </c>
      <c r="P31" s="10">
        <v>5.4381692538883297E-4</v>
      </c>
      <c r="Q31"/>
      <c r="R31"/>
    </row>
    <row r="32" spans="1:18" x14ac:dyDescent="0.25">
      <c r="A32" s="6" t="s">
        <v>39</v>
      </c>
      <c r="B32" s="16"/>
      <c r="C32" s="17" t="s">
        <v>31</v>
      </c>
      <c r="D32" s="10">
        <v>0.50241928507520273</v>
      </c>
      <c r="E32" s="10">
        <v>0.40798515596742574</v>
      </c>
      <c r="F32" s="10">
        <v>0.37507284144957681</v>
      </c>
      <c r="G32" s="10">
        <v>0.2691955339394046</v>
      </c>
      <c r="H32" s="10">
        <v>0.24091981881790986</v>
      </c>
      <c r="I32" s="10">
        <v>0.20043440095144077</v>
      </c>
      <c r="J32" s="10">
        <v>0.12836973555004266</v>
      </c>
      <c r="K32" s="10">
        <v>7.6530908840962461E-2</v>
      </c>
      <c r="L32" s="10">
        <v>3.6847943343574524E-2</v>
      </c>
      <c r="M32" s="10">
        <v>1.5635178937948791E-2</v>
      </c>
      <c r="N32" s="10">
        <v>6.7480680903712568E-3</v>
      </c>
      <c r="O32" s="10">
        <v>2.0331680582951565E-4</v>
      </c>
      <c r="P32" s="10">
        <v>6.8837585492257335E-4</v>
      </c>
      <c r="Q32"/>
      <c r="R32"/>
    </row>
    <row r="33" spans="1:21" x14ac:dyDescent="0.25">
      <c r="A33" s="6" t="s">
        <v>40</v>
      </c>
      <c r="B33" s="16">
        <v>0.12</v>
      </c>
      <c r="C33" t="s">
        <v>27</v>
      </c>
      <c r="D33" s="10">
        <v>0.12702143186930159</v>
      </c>
      <c r="E33" s="10">
        <v>0.10873207610812627</v>
      </c>
      <c r="F33" s="10">
        <v>8.9564187887730629E-2</v>
      </c>
      <c r="G33" s="10">
        <v>6.3203426791755293E-2</v>
      </c>
      <c r="H33" s="10">
        <v>5.937059165740282E-2</v>
      </c>
      <c r="I33" s="10">
        <v>4.1355256743637207E-2</v>
      </c>
      <c r="J33" s="10">
        <v>3.7686060251999401E-2</v>
      </c>
      <c r="K33" s="10">
        <v>1.7269652805410398E-2</v>
      </c>
      <c r="L33" s="10">
        <v>1.2003921741918461E-2</v>
      </c>
      <c r="M33" s="10">
        <v>1.0285240733856711E-2</v>
      </c>
      <c r="N33" s="10">
        <v>7.9670889077955928E-3</v>
      </c>
      <c r="O33" s="10">
        <v>4.7586140062111206E-3</v>
      </c>
      <c r="P33" s="10">
        <v>1.3061081722615399E-3</v>
      </c>
      <c r="Q33"/>
      <c r="R33"/>
    </row>
    <row r="34" spans="1:21" x14ac:dyDescent="0.25">
      <c r="A34" s="6" t="s">
        <v>40</v>
      </c>
      <c r="B34" s="16"/>
      <c r="C34" s="17" t="s">
        <v>31</v>
      </c>
      <c r="D34" s="10">
        <v>0.16160487515178318</v>
      </c>
      <c r="E34" s="10">
        <v>0.13694216134524717</v>
      </c>
      <c r="F34" s="10">
        <v>0.11351608097304261</v>
      </c>
      <c r="G34" s="10">
        <v>7.9601293188608674E-2</v>
      </c>
      <c r="H34" s="10">
        <v>7.611614315051643E-2</v>
      </c>
      <c r="I34" s="10">
        <v>5.22822461992885E-2</v>
      </c>
      <c r="J34" s="10">
        <v>4.8253598274006916E-2</v>
      </c>
      <c r="K34" s="10">
        <v>2.2140580519756918E-2</v>
      </c>
      <c r="L34" s="10">
        <v>1.5569288900023945E-2</v>
      </c>
      <c r="M34" s="10">
        <v>1.3019292068173051E-2</v>
      </c>
      <c r="N34" s="10">
        <v>1.0084922668095686E-2</v>
      </c>
      <c r="O34" s="10">
        <v>6.0542162928894664E-3</v>
      </c>
      <c r="P34" s="10">
        <v>1.6533014838753669E-3</v>
      </c>
    </row>
    <row r="35" spans="1:21" x14ac:dyDescent="0.25">
      <c r="A35" s="18" t="s">
        <v>41</v>
      </c>
      <c r="B35" s="16">
        <v>0.59</v>
      </c>
      <c r="C35" t="s">
        <v>27</v>
      </c>
      <c r="D35" s="10">
        <f>D31+D33</f>
        <v>0.52142057065333569</v>
      </c>
      <c r="E35" s="10">
        <f t="shared" ref="E35:P36" si="11">E31+E33</f>
        <v>0.43104034932239266</v>
      </c>
      <c r="F35" s="10">
        <f t="shared" si="11"/>
        <v>0.38212100421840056</v>
      </c>
      <c r="G35" s="10">
        <f t="shared" si="11"/>
        <v>0.2734451387984303</v>
      </c>
      <c r="H35" s="10">
        <f t="shared" si="11"/>
        <v>0.24969724852355163</v>
      </c>
      <c r="I35" s="10">
        <f t="shared" si="11"/>
        <v>0.19889669589146966</v>
      </c>
      <c r="J35" s="10">
        <f t="shared" si="11"/>
        <v>0.1378144539810327</v>
      </c>
      <c r="K35" s="10">
        <f t="shared" si="11"/>
        <v>7.7729070789770746E-2</v>
      </c>
      <c r="L35" s="10">
        <f t="shared" si="11"/>
        <v>4.1113796983342332E-2</v>
      </c>
      <c r="M35" s="10">
        <f t="shared" si="11"/>
        <v>2.2386869231829074E-2</v>
      </c>
      <c r="N35" s="10">
        <f t="shared" si="11"/>
        <v>1.3298062699188887E-2</v>
      </c>
      <c r="O35" s="10">
        <f t="shared" si="11"/>
        <v>4.9151679466998477E-3</v>
      </c>
      <c r="P35" s="16">
        <f t="shared" si="11"/>
        <v>1.8499250976503729E-3</v>
      </c>
    </row>
    <row r="36" spans="1:21" x14ac:dyDescent="0.25">
      <c r="A36" s="18" t="s">
        <v>41</v>
      </c>
      <c r="B36" s="16"/>
      <c r="C36" t="s">
        <v>31</v>
      </c>
      <c r="D36" s="10">
        <f>D32+D34</f>
        <v>0.66402416022698585</v>
      </c>
      <c r="E36" s="10">
        <f t="shared" si="11"/>
        <v>0.54492731731267297</v>
      </c>
      <c r="F36" s="10">
        <f t="shared" si="11"/>
        <v>0.48858892242261942</v>
      </c>
      <c r="G36" s="10">
        <f t="shared" si="11"/>
        <v>0.3487968271280133</v>
      </c>
      <c r="H36" s="10">
        <f t="shared" si="11"/>
        <v>0.31703596196842632</v>
      </c>
      <c r="I36" s="10">
        <f t="shared" si="11"/>
        <v>0.25271664715072928</v>
      </c>
      <c r="J36" s="10">
        <f t="shared" si="11"/>
        <v>0.17662333382404957</v>
      </c>
      <c r="K36" s="10">
        <f t="shared" si="11"/>
        <v>9.8671489360719372E-2</v>
      </c>
      <c r="L36" s="10">
        <f t="shared" si="11"/>
        <v>5.2417232243598469E-2</v>
      </c>
      <c r="M36" s="10">
        <f t="shared" si="11"/>
        <v>2.865447100612184E-2</v>
      </c>
      <c r="N36" s="10">
        <f t="shared" si="11"/>
        <v>1.6832990758466941E-2</v>
      </c>
      <c r="O36" s="10">
        <f t="shared" si="11"/>
        <v>6.2575330987189818E-3</v>
      </c>
      <c r="P36" s="10">
        <f t="shared" si="11"/>
        <v>2.3416773387979401E-3</v>
      </c>
    </row>
    <row r="37" spans="1:21" x14ac:dyDescent="0.25">
      <c r="A37" s="18" t="s">
        <v>41</v>
      </c>
      <c r="C37" s="17" t="s">
        <v>32</v>
      </c>
      <c r="D37" s="10">
        <f>D35/D36</f>
        <v>0.78524337198076732</v>
      </c>
      <c r="E37" s="10">
        <f t="shared" ref="E37:O37" si="12">E35/E36</f>
        <v>0.79100521414136904</v>
      </c>
      <c r="F37" s="10">
        <f t="shared" si="12"/>
        <v>0.78209101083113319</v>
      </c>
      <c r="G37" s="10">
        <f t="shared" si="12"/>
        <v>0.78396681830500747</v>
      </c>
      <c r="H37" s="10">
        <f t="shared" si="12"/>
        <v>0.78759913220323896</v>
      </c>
      <c r="I37" s="10">
        <f t="shared" si="12"/>
        <v>0.78703440447609507</v>
      </c>
      <c r="J37" s="10">
        <f t="shared" si="12"/>
        <v>0.78027320058584171</v>
      </c>
      <c r="K37" s="10">
        <f t="shared" si="12"/>
        <v>0.7877561319218751</v>
      </c>
      <c r="L37" s="10">
        <f t="shared" si="12"/>
        <v>0.7843565030727736</v>
      </c>
      <c r="M37" s="10">
        <f t="shared" si="12"/>
        <v>0.78126967435714534</v>
      </c>
      <c r="N37" s="10">
        <f t="shared" si="12"/>
        <v>0.79000000000000015</v>
      </c>
      <c r="O37" s="10">
        <f t="shared" si="12"/>
        <v>0.78548013556749097</v>
      </c>
      <c r="P37" s="10">
        <f>P35/P36</f>
        <v>0.79</v>
      </c>
      <c r="Q37" s="9">
        <f>AVERAGE(D37:M37)</f>
        <v>0.78505954618752471</v>
      </c>
      <c r="R37" s="10">
        <f>STDEV(D37:P37)</f>
        <v>3.4352168377008172E-3</v>
      </c>
    </row>
    <row r="38" spans="1:21" x14ac:dyDescent="0.25">
      <c r="A38" s="18" t="s">
        <v>41</v>
      </c>
      <c r="C38" t="s">
        <v>28</v>
      </c>
      <c r="D38" s="10">
        <f>D35/$B$35</f>
        <v>0.88376367907345033</v>
      </c>
      <c r="E38" s="10">
        <f t="shared" ref="E38:P38" si="13">E35/$B$35</f>
        <v>0.73057686325829263</v>
      </c>
      <c r="F38" s="10">
        <f t="shared" si="13"/>
        <v>0.64766271901423822</v>
      </c>
      <c r="G38" s="10">
        <f t="shared" si="13"/>
        <v>0.46346633694649203</v>
      </c>
      <c r="H38" s="10">
        <f t="shared" si="13"/>
        <v>0.42321567546364686</v>
      </c>
      <c r="I38" s="10">
        <f t="shared" si="13"/>
        <v>0.33711304388384689</v>
      </c>
      <c r="J38" s="10">
        <f t="shared" si="13"/>
        <v>0.23358382030683511</v>
      </c>
      <c r="K38" s="10">
        <f t="shared" si="13"/>
        <v>0.13174418777927246</v>
      </c>
      <c r="L38" s="10">
        <f t="shared" si="13"/>
        <v>6.9684401666681925E-2</v>
      </c>
      <c r="M38" s="10">
        <f t="shared" si="13"/>
        <v>3.7943846155642502E-2</v>
      </c>
      <c r="N38" s="10">
        <f t="shared" si="13"/>
        <v>2.2539089320659133E-2</v>
      </c>
      <c r="O38" s="10">
        <f t="shared" si="13"/>
        <v>8.3307931299997414E-3</v>
      </c>
      <c r="P38" s="10">
        <f t="shared" si="13"/>
        <v>3.1354662672040219E-3</v>
      </c>
    </row>
    <row r="39" spans="1:21" x14ac:dyDescent="0.25">
      <c r="A39" s="6" t="s">
        <v>42</v>
      </c>
      <c r="B39" s="16">
        <v>4.1000000000000002E-2</v>
      </c>
      <c r="C39" t="s">
        <v>27</v>
      </c>
      <c r="D39" s="10">
        <v>4.2143184918031991E-2</v>
      </c>
      <c r="E39" s="10">
        <v>3.1417421308966249E-2</v>
      </c>
      <c r="F39" s="10">
        <v>2.517337086192924E-2</v>
      </c>
      <c r="G39" s="10">
        <v>2.0658594052790274E-2</v>
      </c>
      <c r="H39" s="10">
        <v>1.7126919923363626E-2</v>
      </c>
      <c r="I39" s="10">
        <v>1.3513848086996605E-2</v>
      </c>
      <c r="J39" s="10">
        <v>7.8313754463889256E-3</v>
      </c>
      <c r="K39" s="10">
        <v>5.2891978294509869E-3</v>
      </c>
      <c r="L39" s="10">
        <v>2.1853357193382236E-3</v>
      </c>
      <c r="M39" s="10">
        <v>1.0676863354859951E-3</v>
      </c>
      <c r="N39" s="10">
        <v>6.7491923045800181E-4</v>
      </c>
      <c r="O39" s="10">
        <v>2.6213555010859429E-4</v>
      </c>
      <c r="P39" s="10">
        <v>8.9060396740700125E-5</v>
      </c>
    </row>
    <row r="40" spans="1:21" x14ac:dyDescent="0.25">
      <c r="A40" s="6" t="s">
        <v>42</v>
      </c>
      <c r="B40" s="16"/>
      <c r="C40" t="s">
        <v>31</v>
      </c>
      <c r="D40" s="10">
        <v>4.89980059505081E-2</v>
      </c>
      <c r="E40" s="10">
        <v>3.8489455643398701E-2</v>
      </c>
      <c r="F40" s="10">
        <v>2.9203446475555964E-2</v>
      </c>
      <c r="G40" s="10">
        <v>2.4013244278496194E-2</v>
      </c>
      <c r="H40" s="10">
        <v>1.9903451392636405E-2</v>
      </c>
      <c r="I40" s="10">
        <v>1.5706471509758953E-2</v>
      </c>
      <c r="J40" s="10">
        <v>9.1168515091838483E-3</v>
      </c>
      <c r="K40" s="10">
        <v>6.1573897898148855E-3</v>
      </c>
      <c r="L40" s="10">
        <v>2.5396115274122296E-3</v>
      </c>
      <c r="M40" s="10">
        <v>1.238615238382825E-3</v>
      </c>
      <c r="N40" s="10">
        <v>7.8387831644367227E-4</v>
      </c>
      <c r="O40" s="10">
        <v>3.0304687873825931E-4</v>
      </c>
      <c r="P40" s="10">
        <v>1.0343832374065055E-4</v>
      </c>
    </row>
    <row r="41" spans="1:21" x14ac:dyDescent="0.25">
      <c r="A41" s="6" t="s">
        <v>43</v>
      </c>
      <c r="B41" s="16">
        <v>8.3000000000000001E-3</v>
      </c>
      <c r="C41" t="s">
        <v>27</v>
      </c>
      <c r="D41" s="10">
        <v>7.3568069641170011E-3</v>
      </c>
      <c r="E41" s="10">
        <v>6.0001060776547913E-3</v>
      </c>
      <c r="F41" s="10">
        <v>4.9490034153039323E-3</v>
      </c>
      <c r="G41" s="10">
        <v>4.2145255703666595E-3</v>
      </c>
      <c r="H41" s="10">
        <v>3.5973564853597957E-3</v>
      </c>
      <c r="I41" s="10">
        <v>2.7857018226520405E-3</v>
      </c>
      <c r="J41" s="10">
        <v>1.9496086527642149E-3</v>
      </c>
      <c r="K41" s="10">
        <v>1.0304548553011564E-3</v>
      </c>
      <c r="L41" s="10">
        <v>5.7154838677697423E-4</v>
      </c>
      <c r="M41" s="10">
        <v>2.6651961197388704E-4</v>
      </c>
      <c r="N41" s="10">
        <v>1.1877772765801355E-4</v>
      </c>
      <c r="O41" s="10">
        <v>6.1425406094012559E-5</v>
      </c>
      <c r="P41" s="10">
        <v>0</v>
      </c>
    </row>
    <row r="42" spans="1:21" x14ac:dyDescent="0.25">
      <c r="A42" s="6" t="s">
        <v>43</v>
      </c>
      <c r="B42" s="16"/>
      <c r="C42" t="s">
        <v>31</v>
      </c>
      <c r="D42" s="10">
        <v>8.5534321173317066E-3</v>
      </c>
      <c r="E42" s="10">
        <v>6.9687643178336714E-3</v>
      </c>
      <c r="F42" s="10">
        <v>5.7413032660138426E-3</v>
      </c>
      <c r="G42" s="10">
        <v>4.898902208958107E-3</v>
      </c>
      <c r="H42" s="10">
        <v>4.1805421096569387E-3</v>
      </c>
      <c r="I42" s="10">
        <v>3.2376822671455604E-3</v>
      </c>
      <c r="J42" s="10">
        <v>2.2696259054298196E-3</v>
      </c>
      <c r="K42" s="10">
        <v>1.1995982017475627E-3</v>
      </c>
      <c r="L42" s="10">
        <v>6.6420498172803507E-4</v>
      </c>
      <c r="M42" s="10">
        <v>3.0918748488850006E-4</v>
      </c>
      <c r="N42" s="10">
        <v>1.3795322608363943E-4</v>
      </c>
      <c r="O42" s="10">
        <v>7.1012030166488506E-5</v>
      </c>
      <c r="P42" s="10">
        <v>0</v>
      </c>
    </row>
    <row r="43" spans="1:21" x14ac:dyDescent="0.25">
      <c r="A43" s="18" t="s">
        <v>44</v>
      </c>
      <c r="B43" s="16">
        <v>4.9300000000000004E-2</v>
      </c>
      <c r="C43" t="s">
        <v>27</v>
      </c>
      <c r="D43" s="10">
        <f>D41+D39</f>
        <v>4.9499991882148993E-2</v>
      </c>
      <c r="E43" s="10">
        <f t="shared" ref="E43:P44" si="14">E41+E39</f>
        <v>3.741752738662104E-2</v>
      </c>
      <c r="F43" s="10">
        <f t="shared" si="14"/>
        <v>3.0122374277233174E-2</v>
      </c>
      <c r="G43" s="10">
        <f t="shared" si="14"/>
        <v>2.4873119623156935E-2</v>
      </c>
      <c r="H43" s="10">
        <f t="shared" si="14"/>
        <v>2.0724276408723423E-2</v>
      </c>
      <c r="I43" s="10">
        <f t="shared" si="14"/>
        <v>1.6299549909648645E-2</v>
      </c>
      <c r="J43" s="10">
        <f t="shared" si="14"/>
        <v>9.7809840991531401E-3</v>
      </c>
      <c r="K43" s="10">
        <f t="shared" si="14"/>
        <v>6.3196526847521433E-3</v>
      </c>
      <c r="L43" s="10">
        <f t="shared" si="14"/>
        <v>2.7568841061151976E-3</v>
      </c>
      <c r="M43" s="10">
        <f t="shared" si="14"/>
        <v>1.334205947459882E-3</v>
      </c>
      <c r="N43" s="10">
        <f t="shared" si="14"/>
        <v>7.9369695811601533E-4</v>
      </c>
      <c r="O43" s="10">
        <f t="shared" si="14"/>
        <v>3.2356095620260687E-4</v>
      </c>
      <c r="P43" s="10">
        <f t="shared" si="14"/>
        <v>8.9060396740700125E-5</v>
      </c>
    </row>
    <row r="44" spans="1:21" x14ac:dyDescent="0.25">
      <c r="A44" s="18" t="s">
        <v>44</v>
      </c>
      <c r="B44" s="16"/>
      <c r="C44" t="s">
        <v>31</v>
      </c>
      <c r="D44" s="10">
        <f>D42+D40</f>
        <v>5.7551438067839807E-2</v>
      </c>
      <c r="E44" s="10">
        <f t="shared" si="14"/>
        <v>4.5458219961232373E-2</v>
      </c>
      <c r="F44" s="10">
        <f t="shared" si="14"/>
        <v>3.4944749741569803E-2</v>
      </c>
      <c r="G44" s="10">
        <f t="shared" si="14"/>
        <v>2.8912146487454302E-2</v>
      </c>
      <c r="H44" s="10">
        <f t="shared" si="14"/>
        <v>2.4083993502293344E-2</v>
      </c>
      <c r="I44" s="10">
        <f t="shared" si="14"/>
        <v>1.8944153776904515E-2</v>
      </c>
      <c r="J44" s="10">
        <f t="shared" si="14"/>
        <v>1.1386477414613669E-2</v>
      </c>
      <c r="K44" s="10">
        <f t="shared" si="14"/>
        <v>7.3569879915624482E-3</v>
      </c>
      <c r="L44" s="10">
        <f t="shared" si="14"/>
        <v>3.2038165091402646E-3</v>
      </c>
      <c r="M44" s="10">
        <f t="shared" si="14"/>
        <v>1.547802723271325E-3</v>
      </c>
      <c r="N44" s="10">
        <f t="shared" si="14"/>
        <v>9.2183154252731172E-4</v>
      </c>
      <c r="O44" s="10">
        <f t="shared" si="14"/>
        <v>3.7405890890474783E-4</v>
      </c>
      <c r="P44" s="10">
        <f t="shared" si="14"/>
        <v>1.0343832374065055E-4</v>
      </c>
    </row>
    <row r="45" spans="1:21" x14ac:dyDescent="0.25">
      <c r="A45" s="18" t="s">
        <v>44</v>
      </c>
      <c r="B45" s="16"/>
      <c r="C45" t="s">
        <v>32</v>
      </c>
      <c r="D45" s="10">
        <f>D43/D44</f>
        <v>0.86009999999999953</v>
      </c>
      <c r="E45" s="10">
        <f t="shared" ref="E45:P45" si="15">E43/E44</f>
        <v>0.82311906226269782</v>
      </c>
      <c r="F45" s="10">
        <f t="shared" si="15"/>
        <v>0.8620000000000001</v>
      </c>
      <c r="G45" s="10">
        <f t="shared" si="15"/>
        <v>0.86029999999999995</v>
      </c>
      <c r="H45" s="10">
        <f t="shared" si="15"/>
        <v>0.86050000000000004</v>
      </c>
      <c r="I45" s="10">
        <f t="shared" si="15"/>
        <v>0.86040000000000005</v>
      </c>
      <c r="J45" s="10">
        <f t="shared" si="15"/>
        <v>0.85899999999999987</v>
      </c>
      <c r="K45" s="10">
        <f t="shared" si="15"/>
        <v>0.85899999999999999</v>
      </c>
      <c r="L45" s="10">
        <f t="shared" si="15"/>
        <v>0.86049999999999993</v>
      </c>
      <c r="M45" s="10">
        <f t="shared" si="15"/>
        <v>0.86199999999999988</v>
      </c>
      <c r="N45" s="10">
        <f t="shared" si="15"/>
        <v>0.86099999999999999</v>
      </c>
      <c r="O45" s="10">
        <f t="shared" si="15"/>
        <v>0.86499999999999999</v>
      </c>
      <c r="P45" s="10">
        <f t="shared" si="15"/>
        <v>0.86099999999999999</v>
      </c>
      <c r="Q45" s="9">
        <f>AVERAGE(D45:P45)</f>
        <v>0.85799377402020771</v>
      </c>
      <c r="R45" s="9">
        <f>STDEV(D45:P45)</f>
        <v>1.0589457467676802E-2</v>
      </c>
    </row>
    <row r="46" spans="1:21" x14ac:dyDescent="0.25">
      <c r="A46" s="18" t="s">
        <v>44</v>
      </c>
      <c r="C46" t="s">
        <v>28</v>
      </c>
      <c r="D46" s="10">
        <f>D43/$B$43</f>
        <v>1.0040566304695535</v>
      </c>
      <c r="E46" s="10">
        <f t="shared" ref="E46:P46" si="16">E43/$B$43</f>
        <v>0.75897621473876342</v>
      </c>
      <c r="F46" s="10">
        <f t="shared" si="16"/>
        <v>0.61100150663758968</v>
      </c>
      <c r="G46" s="10">
        <f t="shared" si="16"/>
        <v>0.50452575300521163</v>
      </c>
      <c r="H46" s="10">
        <f t="shared" si="16"/>
        <v>0.42037071822968403</v>
      </c>
      <c r="I46" s="10">
        <f t="shared" si="16"/>
        <v>0.33061967362370476</v>
      </c>
      <c r="J46" s="10">
        <f t="shared" si="16"/>
        <v>0.19839724339053022</v>
      </c>
      <c r="K46" s="10">
        <f t="shared" si="16"/>
        <v>0.12818768123229499</v>
      </c>
      <c r="L46" s="10">
        <f t="shared" si="16"/>
        <v>5.5920570103756541E-2</v>
      </c>
      <c r="M46" s="10">
        <f t="shared" si="16"/>
        <v>2.7063000962675089E-2</v>
      </c>
      <c r="N46" s="10">
        <f t="shared" si="16"/>
        <v>1.609932977922952E-2</v>
      </c>
      <c r="O46" s="10">
        <f t="shared" si="16"/>
        <v>6.5631025598906056E-3</v>
      </c>
      <c r="P46" s="10">
        <f t="shared" si="16"/>
        <v>1.8064989196896577E-3</v>
      </c>
    </row>
    <row r="47" spans="1:21" x14ac:dyDescent="0.25">
      <c r="C47" s="19" t="s">
        <v>45</v>
      </c>
      <c r="D47" s="9">
        <f t="shared" ref="D47:P47" si="17">LN(D5*(D4-D6)/(D4*(D5-D6)))</f>
        <v>-1.0095790848877213</v>
      </c>
      <c r="E47" s="9">
        <f t="shared" si="17"/>
        <v>-1.1754651220294545</v>
      </c>
      <c r="F47" s="9">
        <f t="shared" si="17"/>
        <v>-1.2928955832378564</v>
      </c>
      <c r="G47" s="9">
        <f t="shared" si="17"/>
        <v>-1.4238486798552612</v>
      </c>
      <c r="H47" s="9">
        <f t="shared" si="17"/>
        <v>-1.5050591019766819</v>
      </c>
      <c r="I47" s="9">
        <f t="shared" si="17"/>
        <v>-1.66527870997019</v>
      </c>
      <c r="J47" s="9">
        <f t="shared" si="17"/>
        <v>-1.9490197089923746</v>
      </c>
      <c r="K47" s="9">
        <f t="shared" si="17"/>
        <v>-2.2146847552511741</v>
      </c>
      <c r="L47" s="9">
        <f t="shared" si="17"/>
        <v>-2.7021072253301148</v>
      </c>
      <c r="M47" s="9">
        <f t="shared" si="17"/>
        <v>-3.0745983055010382</v>
      </c>
      <c r="N47" s="9">
        <f t="shared" si="17"/>
        <v>-3.4863148452056576</v>
      </c>
      <c r="O47" s="9">
        <f t="shared" si="17"/>
        <v>-3.9921934055812724</v>
      </c>
      <c r="P47" s="9">
        <f t="shared" si="17"/>
        <v>-4.2809985519298461</v>
      </c>
      <c r="Q47" s="6" t="s">
        <v>46</v>
      </c>
      <c r="R47" s="6" t="s">
        <v>47</v>
      </c>
      <c r="S47" s="6" t="s">
        <v>48</v>
      </c>
      <c r="T47" s="6" t="s">
        <v>49</v>
      </c>
    </row>
    <row r="48" spans="1:21" ht="15.75" x14ac:dyDescent="0.25">
      <c r="A48" s="6" t="s">
        <v>37</v>
      </c>
      <c r="C48" t="s">
        <v>50</v>
      </c>
      <c r="D48" s="9">
        <f t="shared" ref="D48:P48" si="18">LN(D23)</f>
        <v>-0.30132248875165463</v>
      </c>
      <c r="E48" s="9">
        <f t="shared" si="18"/>
        <v>-0.60428915272378281</v>
      </c>
      <c r="F48" s="9">
        <f t="shared" si="18"/>
        <v>-0.77377515975679223</v>
      </c>
      <c r="G48" s="9">
        <f t="shared" si="18"/>
        <v>-0.9806501212452714</v>
      </c>
      <c r="H48" s="9">
        <f t="shared" si="18"/>
        <v>-1.1813899943805792</v>
      </c>
      <c r="I48" s="9">
        <f t="shared" si="18"/>
        <v>-1.3931926823134062</v>
      </c>
      <c r="J48" s="9">
        <f t="shared" si="18"/>
        <v>-1.9351783605428545</v>
      </c>
      <c r="K48" s="9">
        <f t="shared" si="18"/>
        <v>-2.2300599123644331</v>
      </c>
      <c r="L48" s="9">
        <f t="shared" si="18"/>
        <v>-3.1832220105742777</v>
      </c>
      <c r="M48" s="9">
        <f t="shared" si="18"/>
        <v>-3.9100947310389844</v>
      </c>
      <c r="N48" s="9">
        <f t="shared" si="18"/>
        <v>-4.5093062315000791</v>
      </c>
      <c r="O48" s="9">
        <f t="shared" si="18"/>
        <v>-5.3082690468926774</v>
      </c>
      <c r="P48" s="9">
        <f t="shared" si="18"/>
        <v>-6.5423110625750205</v>
      </c>
      <c r="Q48" s="20">
        <f>SLOPE(D48:P48,D$47:P$47)</f>
        <v>1.7882765671103402</v>
      </c>
      <c r="R48" s="20">
        <f>RSQ(D48:P48,D$47:P$47)</f>
        <v>0.99272201483722744</v>
      </c>
      <c r="S48" s="8">
        <f>0.0132*T48/(Q48*0.000202*$D$6)</f>
        <v>8348706.1822863221</v>
      </c>
      <c r="T48" s="9">
        <f>Q25</f>
        <v>0.85549739715220141</v>
      </c>
      <c r="U48" s="6"/>
    </row>
    <row r="49" spans="1:21" s="6" customFormat="1" ht="15.75" x14ac:dyDescent="0.25">
      <c r="A49" s="6" t="str">
        <f>A43</f>
        <v xml:space="preserve">SDP </v>
      </c>
      <c r="B49"/>
      <c r="C49" t="s">
        <v>50</v>
      </c>
      <c r="D49" s="9">
        <f t="shared" ref="D49:P49" si="19">LN(D43)</f>
        <v>-3.005782773404496</v>
      </c>
      <c r="E49" s="9">
        <f t="shared" si="19"/>
        <v>-3.285616037641121</v>
      </c>
      <c r="F49" s="9">
        <f t="shared" si="19"/>
        <v>-3.5024870518917721</v>
      </c>
      <c r="G49" s="9">
        <f t="shared" si="19"/>
        <v>-3.6939675918336956</v>
      </c>
      <c r="H49" s="9">
        <f t="shared" si="19"/>
        <v>-3.8764494925040149</v>
      </c>
      <c r="I49" s="9">
        <f t="shared" si="19"/>
        <v>-4.1166177844556548</v>
      </c>
      <c r="J49" s="9">
        <f t="shared" si="19"/>
        <v>-4.6273151763623392</v>
      </c>
      <c r="K49" s="9">
        <f t="shared" si="19"/>
        <v>-5.0640910272777306</v>
      </c>
      <c r="L49" s="9">
        <f t="shared" si="19"/>
        <v>-5.8936541840535499</v>
      </c>
      <c r="M49" s="9">
        <f t="shared" si="19"/>
        <v>-6.6194189600013864</v>
      </c>
      <c r="N49" s="9">
        <f t="shared" si="19"/>
        <v>-7.1388088344109919</v>
      </c>
      <c r="O49" s="9">
        <f t="shared" si="19"/>
        <v>-8.036123034562964</v>
      </c>
      <c r="P49" s="9">
        <f t="shared" si="19"/>
        <v>-9.3261958033231718</v>
      </c>
      <c r="Q49" s="20">
        <f>SLOPE(D49:P49,D$47:P$47)</f>
        <v>1.79491303678986</v>
      </c>
      <c r="R49" s="20">
        <f>RSQ(D49:P49,D$47:P$47)</f>
        <v>0.99144650013017643</v>
      </c>
      <c r="S49" s="8">
        <f>0.0132*T49/(Q49*0.000202*$D$6)</f>
        <v>8342109.6660993863</v>
      </c>
      <c r="T49" s="9">
        <f>Q45</f>
        <v>0.85799377402020771</v>
      </c>
      <c r="U49"/>
    </row>
    <row r="50" spans="1:21" s="6" customFormat="1" ht="15.75" x14ac:dyDescent="0.25">
      <c r="A50" s="6" t="str">
        <f>A35</f>
        <v>OA</v>
      </c>
      <c r="B50"/>
      <c r="C50" t="s">
        <v>50</v>
      </c>
      <c r="D50" s="9">
        <f t="shared" ref="D50:P50" si="20">LN(D35)</f>
        <v>-0.65119832553113965</v>
      </c>
      <c r="E50" s="9">
        <f t="shared" si="20"/>
        <v>-0.84155357534288866</v>
      </c>
      <c r="F50" s="9">
        <f t="shared" si="20"/>
        <v>-0.96201795556535763</v>
      </c>
      <c r="G50" s="9">
        <f t="shared" si="20"/>
        <v>-1.2966542666432948</v>
      </c>
      <c r="H50" s="9">
        <f t="shared" si="20"/>
        <v>-1.3875061008858685</v>
      </c>
      <c r="I50" s="9">
        <f t="shared" si="20"/>
        <v>-1.6149697051683363</v>
      </c>
      <c r="J50" s="9">
        <f t="shared" si="20"/>
        <v>-1.9818470348943105</v>
      </c>
      <c r="K50" s="9">
        <f t="shared" si="20"/>
        <v>-2.5545259501434994</v>
      </c>
      <c r="L50" s="9">
        <f t="shared" si="20"/>
        <v>-3.1914115207868843</v>
      </c>
      <c r="M50" s="9">
        <f t="shared" si="20"/>
        <v>-3.7992806870082401</v>
      </c>
      <c r="N50" s="9">
        <f t="shared" si="20"/>
        <v>-4.3201369160792478</v>
      </c>
      <c r="O50" s="9">
        <f t="shared" si="20"/>
        <v>-5.3154293557328494</v>
      </c>
      <c r="P50" s="9">
        <f t="shared" si="20"/>
        <v>-6.2926101284681097</v>
      </c>
      <c r="Q50" s="20">
        <f>SLOPE(D50:P50,D$47:P$47)</f>
        <v>1.6325669557905245</v>
      </c>
      <c r="R50" s="20">
        <f>RSQ(D50:P50,D$47:P$47)</f>
        <v>0.99231121983675796</v>
      </c>
      <c r="S50" s="8">
        <f>0.0132*T50/(Q50*0.000202*$D$6)</f>
        <v>8392024.9696138706</v>
      </c>
      <c r="T50" s="9">
        <f>Q37</f>
        <v>0.78505954618752471</v>
      </c>
    </row>
    <row r="51" spans="1:21" s="6" customFormat="1" ht="15.75" x14ac:dyDescent="0.25">
      <c r="A51" s="6" t="s">
        <v>30</v>
      </c>
      <c r="B51"/>
      <c r="C51" t="s">
        <v>50</v>
      </c>
      <c r="D51" s="9">
        <f t="shared" ref="D51:P51" si="21">LN(D11)</f>
        <v>-1.1771799466923842</v>
      </c>
      <c r="E51" s="9">
        <f t="shared" si="21"/>
        <v>-1.4167144078060603</v>
      </c>
      <c r="F51" s="9">
        <f t="shared" si="21"/>
        <v>-1.5942262734789265</v>
      </c>
      <c r="G51" s="9">
        <f t="shared" si="21"/>
        <v>-1.7362397565860093</v>
      </c>
      <c r="H51" s="9">
        <f t="shared" si="21"/>
        <v>-1.9028494070886204</v>
      </c>
      <c r="I51" s="9">
        <f t="shared" si="21"/>
        <v>-2.1569929497314448</v>
      </c>
      <c r="J51" s="9">
        <f t="shared" si="21"/>
        <v>-2.6581732645111873</v>
      </c>
      <c r="K51" s="9">
        <f t="shared" si="21"/>
        <v>-3.1090984981095899</v>
      </c>
      <c r="L51" s="9">
        <f t="shared" si="21"/>
        <v>-4.082264952606641</v>
      </c>
      <c r="M51" s="9">
        <f t="shared" si="21"/>
        <v>-5.1191117853427297</v>
      </c>
      <c r="N51" s="9">
        <f t="shared" si="21"/>
        <v>-5.7188221994894333</v>
      </c>
      <c r="O51" s="9">
        <f t="shared" si="21"/>
        <v>-6.2067277155064629</v>
      </c>
      <c r="P51" s="9">
        <f t="shared" si="21"/>
        <v>-6.8340879153534768</v>
      </c>
      <c r="Q51" s="20">
        <f>SLOPE(D51:P51,D$47:P$47)</f>
        <v>1.7895546715702724</v>
      </c>
      <c r="R51" s="20">
        <f>RSQ(D51:P51,D$47:P$47)</f>
        <v>0.99427619236973452</v>
      </c>
      <c r="S51" s="8">
        <f>0.0132*T51/(Q51*0.000202*$D$6)</f>
        <v>8387627.7372365687</v>
      </c>
      <c r="T51" s="9">
        <f>Q13</f>
        <v>0.86010000000000009</v>
      </c>
    </row>
    <row r="52" spans="1:21" ht="15.75" x14ac:dyDescent="0.25">
      <c r="A52" s="6" t="s">
        <v>52</v>
      </c>
      <c r="C52" t="s">
        <v>50</v>
      </c>
      <c r="D52" s="9">
        <f>LN(D8)</f>
        <v>0.88336762812573455</v>
      </c>
      <c r="E52" s="9">
        <f t="shared" ref="E52:P52" si="22">LN(E8)</f>
        <v>0.78741181756836687</v>
      </c>
      <c r="F52" s="9">
        <f t="shared" si="22"/>
        <v>0.69027280023945992</v>
      </c>
      <c r="G52" s="9">
        <f t="shared" si="22"/>
        <v>0.52804132579808927</v>
      </c>
      <c r="H52" s="9">
        <f t="shared" si="22"/>
        <v>0.38561521170810997</v>
      </c>
      <c r="I52" s="9">
        <f t="shared" si="22"/>
        <v>0.12850240224488341</v>
      </c>
      <c r="J52" s="9">
        <f t="shared" si="22"/>
        <v>-0.16117719060622696</v>
      </c>
      <c r="K52" s="9">
        <f t="shared" si="22"/>
        <v>-0.441824564055181</v>
      </c>
      <c r="L52" s="9">
        <f t="shared" si="22"/>
        <v>-0.88275544079008028</v>
      </c>
      <c r="M52" s="9">
        <f t="shared" si="22"/>
        <v>-1.4051577214754853</v>
      </c>
      <c r="N52" s="9">
        <f t="shared" si="22"/>
        <v>-1.7724453366223818</v>
      </c>
      <c r="O52" s="9">
        <f t="shared" si="22"/>
        <v>-2.0553922676619494</v>
      </c>
      <c r="P52" s="9">
        <f t="shared" si="22"/>
        <v>-2.2403582232694901</v>
      </c>
      <c r="Q52" s="20"/>
      <c r="R52" s="20">
        <f>RSQ(D52:P52,D$47:P$47)</f>
        <v>0.9902396412549257</v>
      </c>
      <c r="S52" s="21"/>
      <c r="U52" s="6"/>
    </row>
    <row r="53" spans="1:21" x14ac:dyDescent="0.25">
      <c r="N53"/>
      <c r="O53"/>
      <c r="P53"/>
      <c r="Q53"/>
      <c r="R53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F84B6-34A2-49DC-856B-FF12BE459A77}">
  <dimension ref="A1:L14"/>
  <sheetViews>
    <sheetView workbookViewId="0">
      <selection activeCell="J32" sqref="J32"/>
    </sheetView>
  </sheetViews>
  <sheetFormatPr baseColWidth="10" defaultRowHeight="15" x14ac:dyDescent="0.25"/>
  <cols>
    <col min="1" max="1" width="5" style="6" bestFit="1" customWidth="1"/>
    <col min="2" max="2" width="7.7109375" style="6" bestFit="1" customWidth="1"/>
    <col min="3" max="3" width="11.42578125" style="6"/>
    <col min="4" max="4" width="11.140625" style="6" customWidth="1"/>
    <col min="5" max="5" width="14.140625" style="6" bestFit="1" customWidth="1"/>
    <col min="6" max="6" width="13.85546875" style="6" bestFit="1" customWidth="1"/>
    <col min="7" max="7" width="14.140625" style="6" bestFit="1" customWidth="1"/>
    <col min="8" max="8" width="8.42578125" style="6" bestFit="1" customWidth="1"/>
    <col min="10" max="10" width="14.140625" style="6" bestFit="1" customWidth="1"/>
    <col min="11" max="11" width="13.85546875" style="6" bestFit="1" customWidth="1"/>
    <col min="12" max="16384" width="11.42578125" style="6"/>
  </cols>
  <sheetData>
    <row r="1" spans="1:12" x14ac:dyDescent="0.25">
      <c r="E1" s="6" t="s">
        <v>53</v>
      </c>
    </row>
    <row r="2" spans="1:12" x14ac:dyDescent="0.25">
      <c r="C2" s="6" t="s">
        <v>55</v>
      </c>
      <c r="D2" s="6" t="s">
        <v>55</v>
      </c>
      <c r="E2" s="6" t="s">
        <v>56</v>
      </c>
      <c r="F2" s="6" t="s">
        <v>57</v>
      </c>
      <c r="I2" s="6"/>
    </row>
    <row r="3" spans="1:12" x14ac:dyDescent="0.25">
      <c r="B3" s="6" t="s">
        <v>25</v>
      </c>
      <c r="C3" s="6" t="s">
        <v>27</v>
      </c>
      <c r="D3" s="6" t="s">
        <v>31</v>
      </c>
      <c r="E3" s="6" t="s">
        <v>59</v>
      </c>
      <c r="F3" s="6" t="s">
        <v>60</v>
      </c>
      <c r="G3" s="6" t="s">
        <v>60</v>
      </c>
      <c r="I3" s="6"/>
    </row>
    <row r="4" spans="1:12" x14ac:dyDescent="0.25">
      <c r="A4" s="6" t="s">
        <v>26</v>
      </c>
      <c r="B4" s="10">
        <v>5.17</v>
      </c>
      <c r="C4" s="10">
        <v>0.54586987096887196</v>
      </c>
      <c r="D4" s="10">
        <v>1.7856067999929943</v>
      </c>
      <c r="E4" s="9">
        <f t="shared" ref="E4:E14" si="0">C4*6.2*100/B4</f>
        <v>65.462150870541706</v>
      </c>
      <c r="F4" s="9">
        <f t="shared" ref="F4:F14" si="1">100-E4</f>
        <v>34.537849129458294</v>
      </c>
      <c r="G4" s="9">
        <f>D4*100/B4</f>
        <v>34.537849129458301</v>
      </c>
      <c r="I4" s="10"/>
      <c r="J4" s="9"/>
      <c r="K4" s="9"/>
      <c r="L4" s="9"/>
    </row>
    <row r="5" spans="1:12" x14ac:dyDescent="0.25">
      <c r="A5" s="6" t="s">
        <v>33</v>
      </c>
      <c r="B5" s="10">
        <v>0.09</v>
      </c>
      <c r="C5" s="10">
        <v>1.4067043379295298E-2</v>
      </c>
      <c r="D5" s="10">
        <v>2.784331048369163E-3</v>
      </c>
      <c r="E5" s="9">
        <f t="shared" si="0"/>
        <v>96.906298835145407</v>
      </c>
      <c r="F5" s="9">
        <f t="shared" si="1"/>
        <v>3.0937011648545933</v>
      </c>
      <c r="G5" s="9">
        <f>D5*100/B5</f>
        <v>3.0937011648546258</v>
      </c>
      <c r="I5" s="10"/>
      <c r="J5" s="9"/>
      <c r="K5" s="9"/>
      <c r="L5" s="9"/>
    </row>
    <row r="6" spans="1:12" x14ac:dyDescent="0.25">
      <c r="A6" s="6" t="s">
        <v>34</v>
      </c>
      <c r="B6" s="10">
        <v>0.29599999999999999</v>
      </c>
      <c r="C6" s="10">
        <v>4.7055966022358967E-2</v>
      </c>
      <c r="D6" s="10">
        <v>4.2530106613743969E-3</v>
      </c>
      <c r="E6" s="9">
        <f t="shared" si="0"/>
        <v>98.563172073860002</v>
      </c>
      <c r="F6" s="9">
        <f t="shared" si="1"/>
        <v>1.4368279261399977</v>
      </c>
      <c r="G6" s="9">
        <f>D6*100/B6</f>
        <v>1.436827926139999</v>
      </c>
      <c r="I6" s="10"/>
      <c r="J6" s="9"/>
      <c r="K6" s="9"/>
      <c r="L6" s="9"/>
    </row>
    <row r="7" spans="1:12" x14ac:dyDescent="0.25">
      <c r="A7" s="6" t="s">
        <v>35</v>
      </c>
      <c r="B7" s="10">
        <v>0.188</v>
      </c>
      <c r="C7" s="10">
        <v>3.0112745549360911E-2</v>
      </c>
      <c r="D7" s="10">
        <v>1.3009775939623414E-3</v>
      </c>
      <c r="E7" s="9">
        <f t="shared" si="0"/>
        <v>99.307990641509392</v>
      </c>
      <c r="F7" s="9">
        <f t="shared" si="1"/>
        <v>0.69200935849060841</v>
      </c>
      <c r="G7" s="9">
        <f>D7*100/B7</f>
        <v>0.69200935849060707</v>
      </c>
      <c r="I7" s="10"/>
      <c r="J7" s="9"/>
      <c r="K7" s="9"/>
      <c r="L7" s="9"/>
    </row>
    <row r="8" spans="1:12" x14ac:dyDescent="0.25">
      <c r="A8" s="6" t="s">
        <v>36</v>
      </c>
      <c r="B8" s="10">
        <v>0.124</v>
      </c>
      <c r="C8" s="10">
        <v>0.02</v>
      </c>
      <c r="D8" s="10" t="s">
        <v>63</v>
      </c>
      <c r="E8" s="9">
        <f t="shared" si="0"/>
        <v>100.00000000000001</v>
      </c>
      <c r="F8" s="9">
        <f t="shared" si="1"/>
        <v>0</v>
      </c>
      <c r="G8" s="9" t="s">
        <v>63</v>
      </c>
      <c r="I8" s="10"/>
      <c r="J8" s="9"/>
      <c r="K8" s="9"/>
      <c r="L8" s="9"/>
    </row>
    <row r="9" spans="1:12" x14ac:dyDescent="0.25">
      <c r="A9" s="6" t="s">
        <v>30</v>
      </c>
      <c r="B9" s="10">
        <v>0.32399999999999995</v>
      </c>
      <c r="C9" s="10">
        <v>5.2101290322580644E-2</v>
      </c>
      <c r="D9" s="10">
        <v>9.7199999999999977E-4</v>
      </c>
      <c r="E9" s="9">
        <f t="shared" si="0"/>
        <v>99.7</v>
      </c>
      <c r="F9" s="9">
        <f t="shared" si="1"/>
        <v>0.29999999999999716</v>
      </c>
      <c r="G9" s="9">
        <f t="shared" ref="G9:G14" si="2">D9*100/B9</f>
        <v>0.3</v>
      </c>
      <c r="I9" s="10"/>
      <c r="J9" s="9"/>
      <c r="K9" s="9"/>
      <c r="L9" s="9"/>
    </row>
    <row r="10" spans="1:12" x14ac:dyDescent="0.25">
      <c r="A10" s="6" t="s">
        <v>39</v>
      </c>
      <c r="B10" s="10">
        <v>0.47</v>
      </c>
      <c r="C10" s="10">
        <v>7.4842950237727815E-2</v>
      </c>
      <c r="D10" s="10">
        <v>5.9737085260875254E-3</v>
      </c>
      <c r="E10" s="9">
        <f t="shared" si="0"/>
        <v>98.728998185938821</v>
      </c>
      <c r="F10" s="9">
        <f t="shared" si="1"/>
        <v>1.2710018140611794</v>
      </c>
      <c r="G10" s="9">
        <f t="shared" si="2"/>
        <v>1.2710018140611756</v>
      </c>
      <c r="I10" s="10"/>
      <c r="J10" s="9"/>
      <c r="K10" s="9"/>
      <c r="L10" s="9"/>
    </row>
    <row r="11" spans="1:12" x14ac:dyDescent="0.25">
      <c r="A11" s="6" t="s">
        <v>40</v>
      </c>
      <c r="B11" s="10">
        <v>0.12</v>
      </c>
      <c r="C11" s="10">
        <v>1.925806451612903E-2</v>
      </c>
      <c r="D11" s="10">
        <v>5.9999999999999995E-4</v>
      </c>
      <c r="E11" s="9">
        <f t="shared" si="0"/>
        <v>99.5</v>
      </c>
      <c r="F11" s="9">
        <f t="shared" si="1"/>
        <v>0.5</v>
      </c>
      <c r="G11" s="9">
        <f t="shared" si="2"/>
        <v>0.5</v>
      </c>
      <c r="I11" s="10"/>
      <c r="J11" s="9"/>
      <c r="K11" s="9"/>
      <c r="L11" s="9"/>
    </row>
    <row r="12" spans="1:12" x14ac:dyDescent="0.25">
      <c r="A12" s="6" t="s">
        <v>42</v>
      </c>
      <c r="B12" s="10">
        <v>4.1000000000000002E-2</v>
      </c>
      <c r="C12" s="10">
        <v>6.5341127690951E-3</v>
      </c>
      <c r="D12" s="10">
        <v>4.885008316103805E-4</v>
      </c>
      <c r="E12" s="9">
        <f t="shared" si="0"/>
        <v>98.808534557047849</v>
      </c>
      <c r="F12" s="9">
        <f t="shared" si="1"/>
        <v>1.1914654429521505</v>
      </c>
      <c r="G12" s="9">
        <f t="shared" si="2"/>
        <v>1.1914654429521474</v>
      </c>
      <c r="I12" s="10"/>
      <c r="J12" s="9"/>
      <c r="K12" s="9"/>
      <c r="L12" s="9"/>
    </row>
    <row r="13" spans="1:12" x14ac:dyDescent="0.25">
      <c r="A13" s="6" t="s">
        <v>43</v>
      </c>
      <c r="B13" s="10">
        <v>8.3000000000000001E-3</v>
      </c>
      <c r="C13" s="10">
        <v>1.3171721774593687E-3</v>
      </c>
      <c r="D13" s="10">
        <v>1.4353249975191499E-4</v>
      </c>
      <c r="E13" s="9">
        <f t="shared" si="0"/>
        <v>98.391174701784166</v>
      </c>
      <c r="F13" s="9">
        <f t="shared" si="1"/>
        <v>1.6088252982158338</v>
      </c>
      <c r="G13" s="9">
        <f t="shared" si="2"/>
        <v>1.7293072259266866</v>
      </c>
      <c r="I13" s="10"/>
      <c r="J13" s="9"/>
      <c r="K13" s="9"/>
      <c r="L13" s="9"/>
    </row>
    <row r="14" spans="1:12" x14ac:dyDescent="0.25">
      <c r="A14" s="6" t="s">
        <v>64</v>
      </c>
      <c r="B14" s="10">
        <v>0.28000000000000003</v>
      </c>
      <c r="C14" s="10">
        <v>4.5000000000000005E-2</v>
      </c>
      <c r="D14" s="10">
        <v>3.3532499751914998E-4</v>
      </c>
      <c r="E14" s="9">
        <f t="shared" si="0"/>
        <v>99.642857142857139</v>
      </c>
      <c r="F14" s="9">
        <f t="shared" si="1"/>
        <v>0.3571428571428612</v>
      </c>
      <c r="G14" s="9">
        <f t="shared" si="2"/>
        <v>0.11975892768541069</v>
      </c>
      <c r="I14" s="10"/>
      <c r="J14" s="9"/>
      <c r="K14" s="9"/>
      <c r="L14" s="9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8786D-9285-4ABF-B2F4-4C895941C9FF}">
  <dimension ref="A1:G14"/>
  <sheetViews>
    <sheetView workbookViewId="0">
      <selection activeCell="K24" sqref="K24"/>
    </sheetView>
  </sheetViews>
  <sheetFormatPr baseColWidth="10" defaultRowHeight="15" x14ac:dyDescent="0.25"/>
  <cols>
    <col min="1" max="1" width="5" style="6" bestFit="1" customWidth="1"/>
    <col min="2" max="2" width="7.7109375" style="6" bestFit="1" customWidth="1"/>
    <col min="3" max="3" width="8.42578125" style="6" bestFit="1" customWidth="1"/>
    <col min="5" max="5" width="14.140625" style="6" bestFit="1" customWidth="1"/>
    <col min="6" max="6" width="13.85546875" style="6" bestFit="1" customWidth="1"/>
    <col min="7" max="16384" width="11.42578125" style="6"/>
  </cols>
  <sheetData>
    <row r="1" spans="1:7" x14ac:dyDescent="0.25">
      <c r="E1" s="6" t="s">
        <v>54</v>
      </c>
    </row>
    <row r="2" spans="1:7" x14ac:dyDescent="0.25">
      <c r="C2" s="6" t="s">
        <v>58</v>
      </c>
      <c r="D2" s="6" t="s">
        <v>58</v>
      </c>
      <c r="E2" s="6" t="s">
        <v>56</v>
      </c>
      <c r="F2" s="6" t="s">
        <v>57</v>
      </c>
    </row>
    <row r="3" spans="1:7" x14ac:dyDescent="0.25">
      <c r="B3" s="6" t="s">
        <v>25</v>
      </c>
      <c r="C3" s="6" t="s">
        <v>27</v>
      </c>
      <c r="D3" s="6" t="s">
        <v>31</v>
      </c>
      <c r="E3" s="6" t="s">
        <v>61</v>
      </c>
      <c r="F3" s="6" t="s">
        <v>62</v>
      </c>
      <c r="G3" s="6" t="s">
        <v>62</v>
      </c>
    </row>
    <row r="4" spans="1:7" x14ac:dyDescent="0.25">
      <c r="A4" s="6" t="s">
        <v>26</v>
      </c>
      <c r="B4" s="10">
        <v>5.17</v>
      </c>
      <c r="C4" s="10">
        <v>0.55290322580645201</v>
      </c>
      <c r="D4" s="10">
        <v>1.74201001002</v>
      </c>
      <c r="E4" s="9">
        <f t="shared" ref="E4:E14" si="0">C4*6.2*100/B4</f>
        <v>66.305609284332732</v>
      </c>
      <c r="F4" s="9">
        <f t="shared" ref="F4:F14" si="1">100-E4</f>
        <v>33.694390715667268</v>
      </c>
      <c r="G4" s="9">
        <f>D4*100/B4</f>
        <v>33.694584333075433</v>
      </c>
    </row>
    <row r="5" spans="1:7" x14ac:dyDescent="0.25">
      <c r="A5" s="6" t="s">
        <v>33</v>
      </c>
      <c r="B5" s="10">
        <v>0.09</v>
      </c>
      <c r="C5" s="10">
        <v>1.4516129032258063E-2</v>
      </c>
      <c r="D5" s="10" t="s">
        <v>63</v>
      </c>
      <c r="E5" s="9">
        <f t="shared" si="0"/>
        <v>100</v>
      </c>
      <c r="F5" s="9">
        <f t="shared" si="1"/>
        <v>0</v>
      </c>
      <c r="G5" s="9" t="s">
        <v>63</v>
      </c>
    </row>
    <row r="6" spans="1:7" x14ac:dyDescent="0.25">
      <c r="A6" s="6" t="s">
        <v>34</v>
      </c>
      <c r="B6" s="10">
        <v>0.29599999999999999</v>
      </c>
      <c r="C6" s="10">
        <v>4.774193548387097E-2</v>
      </c>
      <c r="D6" s="10" t="s">
        <v>63</v>
      </c>
      <c r="E6" s="9">
        <f t="shared" si="0"/>
        <v>100.00000000000003</v>
      </c>
      <c r="F6" s="9">
        <f t="shared" si="1"/>
        <v>0</v>
      </c>
      <c r="G6" s="9" t="s">
        <v>63</v>
      </c>
    </row>
    <row r="7" spans="1:7" x14ac:dyDescent="0.25">
      <c r="A7" s="6" t="s">
        <v>35</v>
      </c>
      <c r="B7" s="10">
        <v>0.188</v>
      </c>
      <c r="C7" s="10">
        <v>3.0322580645161291E-2</v>
      </c>
      <c r="D7" s="10" t="s">
        <v>63</v>
      </c>
      <c r="E7" s="9">
        <f t="shared" si="0"/>
        <v>100</v>
      </c>
      <c r="F7" s="9">
        <f t="shared" si="1"/>
        <v>0</v>
      </c>
      <c r="G7" s="9" t="s">
        <v>63</v>
      </c>
    </row>
    <row r="8" spans="1:7" x14ac:dyDescent="0.25">
      <c r="A8" s="6" t="s">
        <v>36</v>
      </c>
      <c r="B8" s="10">
        <v>0.124</v>
      </c>
      <c r="C8" s="10">
        <v>2.0000000000000004E-2</v>
      </c>
      <c r="D8" s="10" t="s">
        <v>63</v>
      </c>
      <c r="E8" s="9">
        <f t="shared" si="0"/>
        <v>100.00000000000001</v>
      </c>
      <c r="F8" s="9">
        <f t="shared" si="1"/>
        <v>0</v>
      </c>
      <c r="G8" s="9" t="s">
        <v>63</v>
      </c>
    </row>
    <row r="9" spans="1:7" x14ac:dyDescent="0.25">
      <c r="A9" s="6" t="s">
        <v>30</v>
      </c>
      <c r="B9" s="10">
        <v>0.32399999999999995</v>
      </c>
      <c r="C9" s="10">
        <v>5.2257318173212802E-2</v>
      </c>
      <c r="D9" s="10" t="s">
        <v>63</v>
      </c>
      <c r="E9" s="9">
        <f t="shared" si="0"/>
        <v>99.998571812938081</v>
      </c>
      <c r="F9" s="9">
        <f t="shared" si="1"/>
        <v>1.4281870619186066E-3</v>
      </c>
      <c r="G9" s="9" t="s">
        <v>63</v>
      </c>
    </row>
    <row r="10" spans="1:7" x14ac:dyDescent="0.25">
      <c r="A10" s="6" t="s">
        <v>39</v>
      </c>
      <c r="B10" s="10">
        <v>0.47</v>
      </c>
      <c r="C10" s="10">
        <v>7.5576100397469134E-2</v>
      </c>
      <c r="D10" s="10">
        <v>1.4281775356914436E-3</v>
      </c>
      <c r="E10" s="9">
        <f t="shared" si="0"/>
        <v>99.696132439214594</v>
      </c>
      <c r="F10" s="9">
        <f t="shared" si="1"/>
        <v>0.303867560785406</v>
      </c>
      <c r="G10" s="9">
        <f>D10*100/B10</f>
        <v>0.30386756078541355</v>
      </c>
    </row>
    <row r="11" spans="1:7" x14ac:dyDescent="0.25">
      <c r="A11" s="6" t="s">
        <v>40</v>
      </c>
      <c r="B11" s="10">
        <v>0.12</v>
      </c>
      <c r="C11" s="10">
        <v>1.935483870967742E-2</v>
      </c>
      <c r="D11" s="10" t="s">
        <v>63</v>
      </c>
      <c r="E11" s="9">
        <f t="shared" si="0"/>
        <v>100.00000000000001</v>
      </c>
      <c r="F11" s="9">
        <f t="shared" si="1"/>
        <v>0</v>
      </c>
      <c r="G11" s="9" t="s">
        <v>63</v>
      </c>
    </row>
    <row r="12" spans="1:7" x14ac:dyDescent="0.25">
      <c r="A12" s="6" t="s">
        <v>42</v>
      </c>
      <c r="B12" s="10">
        <v>4.1000000000000002E-2</v>
      </c>
      <c r="C12" s="10">
        <v>6.6110139334303103E-3</v>
      </c>
      <c r="D12" s="10">
        <v>2.0997800000000001E-5</v>
      </c>
      <c r="E12" s="9">
        <f t="shared" si="0"/>
        <v>99.971430212848588</v>
      </c>
      <c r="F12" s="9">
        <f t="shared" si="1"/>
        <v>2.8569787151411674E-2</v>
      </c>
      <c r="G12" s="9">
        <f>D12*100/B12</f>
        <v>5.1214146341463408E-2</v>
      </c>
    </row>
    <row r="13" spans="1:7" x14ac:dyDescent="0.25">
      <c r="A13" s="6" t="s">
        <v>43</v>
      </c>
      <c r="B13" s="10">
        <v>8.3000000000000001E-3</v>
      </c>
      <c r="C13" s="10">
        <v>1.3387139334302999E-3</v>
      </c>
      <c r="D13" s="10" t="s">
        <v>63</v>
      </c>
      <c r="E13" s="9">
        <f t="shared" si="0"/>
        <v>100.00031791888988</v>
      </c>
      <c r="F13" s="9">
        <f t="shared" si="1"/>
        <v>-3.1791888987697803E-4</v>
      </c>
      <c r="G13" s="9" t="s">
        <v>63</v>
      </c>
    </row>
    <row r="14" spans="1:7" x14ac:dyDescent="0.25">
      <c r="A14" s="6" t="s">
        <v>64</v>
      </c>
      <c r="B14" s="10">
        <v>0.28000000000000003</v>
      </c>
      <c r="C14" s="10">
        <v>4.5162910035680001E-2</v>
      </c>
      <c r="D14" s="10" t="s">
        <v>63</v>
      </c>
      <c r="E14" s="9">
        <f t="shared" si="0"/>
        <v>100.00358650757714</v>
      </c>
      <c r="F14" s="9">
        <f t="shared" si="1"/>
        <v>-3.5865075771397414E-3</v>
      </c>
      <c r="G14" s="9" t="s">
        <v>63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f008579-f0ef-435d-9b91-12c5f8f06b7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DF62D27AFBB8E4D8A07D422F5601997" ma:contentTypeVersion="18" ma:contentTypeDescription="Crear nuevo documento." ma:contentTypeScope="" ma:versionID="94d9373473972269711ab2ed83a3c8c7">
  <xsd:schema xmlns:xsd="http://www.w3.org/2001/XMLSchema" xmlns:xs="http://www.w3.org/2001/XMLSchema" xmlns:p="http://schemas.microsoft.com/office/2006/metadata/properties" xmlns:ns3="4f008579-f0ef-435d-9b91-12c5f8f06b79" xmlns:ns4="953c24ac-8ec0-40cb-9cca-5d3437982867" targetNamespace="http://schemas.microsoft.com/office/2006/metadata/properties" ma:root="true" ma:fieldsID="9c42db69ce392f87b171128f4aa3c6cb" ns3:_="" ns4:_="">
    <xsd:import namespace="4f008579-f0ef-435d-9b91-12c5f8f06b79"/>
    <xsd:import namespace="953c24ac-8ec0-40cb-9cca-5d343798286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DateTaken" minOccurs="0"/>
                <xsd:element ref="ns3:MediaServiceObjectDetectorVersions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008579-f0ef-435d-9b91-12c5f8f06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5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3c24ac-8ec0-40cb-9cca-5d34379828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DC6543-0CBF-42B7-848F-2A5D9CD4A593}">
  <ds:schemaRefs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www.w3.org/XML/1998/namespace"/>
    <ds:schemaRef ds:uri="4f008579-f0ef-435d-9b91-12c5f8f06b79"/>
    <ds:schemaRef ds:uri="http://schemas.openxmlformats.org/package/2006/metadata/core-properties"/>
    <ds:schemaRef ds:uri="953c24ac-8ec0-40cb-9cca-5d3437982867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9FB8AA3-BACA-407E-9356-BFF75C677A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24C01C-FCDD-40CF-BCCF-DF0E3770E2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008579-f0ef-435d-9b91-12c5f8f06b79"/>
    <ds:schemaRef ds:uri="953c24ac-8ec0-40cb-9cca-5d34379828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J (50 kDa)</vt:lpstr>
      <vt:lpstr>J (100 kDa) </vt:lpstr>
      <vt:lpstr>R vs DV (50 kDa)</vt:lpstr>
      <vt:lpstr>R vs DV (100 kDa) </vt:lpstr>
      <vt:lpstr>Fractionation (50kDa)</vt:lpstr>
      <vt:lpstr>Fractionation (100 kDa)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BENITO ROMAN</dc:creator>
  <cp:lastModifiedBy>OSCAR BENITO ROMAN</cp:lastModifiedBy>
  <dcterms:created xsi:type="dcterms:W3CDTF">2022-05-03T11:50:58Z</dcterms:created>
  <dcterms:modified xsi:type="dcterms:W3CDTF">2025-02-04T09:17:33Z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0x0101004DF62D27AFBB8E4D8A07D422F5601997</vt:lpwstr>
  </property>
</Properties>
</file>