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revilla\Desktop\TESIS\ENSAYOS MÍOS\CARACTERIZACIÓN ÁRIDO RECICLADO\"/>
    </mc:Choice>
  </mc:AlternateContent>
  <xr:revisionPtr revIDLastSave="0" documentId="11_104313804336DF66332494AA3C5DCB6C911ADBC0" xr6:coauthVersionLast="47" xr6:coauthVersionMax="47" xr10:uidLastSave="{00000000-0000-0000-0000-000000000000}"/>
  <bookViews>
    <workbookView xWindow="-105" yWindow="-105" windowWidth="23250" windowHeight="12570" firstSheet="23" activeTab="10" xr2:uid="{00000000-000D-0000-FFFF-FFFF00000000}"/>
  </bookViews>
  <sheets>
    <sheet name="Granulometría 0-31,5mm" sheetId="1" r:id="rId1"/>
    <sheet name="Granulometría 4-12,5mm" sheetId="3" r:id="rId2"/>
    <sheet name="Granulometría 0-4 mm" sheetId="18" r:id="rId3"/>
    <sheet name="Humedad 4-12,5mm" sheetId="14" r:id="rId4"/>
    <sheet name="Índice lajas 4-12,5mm" sheetId="4" r:id="rId5"/>
    <sheet name="Coef forma UNE-933-4 4-12,5mm" sheetId="5" r:id="rId6"/>
    <sheet name="Angularity number 4-12,5mm" sheetId="28" r:id="rId7"/>
    <sheet name="Coef forma UNE-7238 6,3-12,5mm" sheetId="24" r:id="rId8"/>
    <sheet name="% caras fractura 4-12,5mm" sheetId="13" r:id="rId9"/>
    <sheet name="Desgaste Los Ángeles10-14mm" sheetId="9" r:id="rId10"/>
    <sheet name="Componentes AR" sheetId="12" r:id="rId11"/>
    <sheet name="Mortero adherido 8-12,5mm" sheetId="25" r:id="rId12"/>
    <sheet name="Mortero adherido 4-8mm" sheetId="26" r:id="rId13"/>
    <sheet name="Sulfato de magnesio 10-14mm" sheetId="21" r:id="rId14"/>
    <sheet name="Hielo y deshielo 8-16mm" sheetId="22" r:id="rId15"/>
    <sheet name="Densidad y absorción 4-12,5mm" sheetId="7" r:id="rId16"/>
    <sheet name="Densidad y absorción 0-4mm" sheetId="20" r:id="rId17"/>
    <sheet name="Absorción 10 min 4-12,5mm" sheetId="8" r:id="rId18"/>
    <sheet name="Absorción 10 min 0-4mm" sheetId="23" r:id="rId19"/>
    <sheet name="Densidad conjunto 0-31,5mm" sheetId="15" r:id="rId20"/>
    <sheet name="Densidad conjunto 0-12,5mm" sheetId="16" r:id="rId21"/>
    <sheet name="Densidad conjunto 4-12,5mm" sheetId="6" r:id="rId22"/>
    <sheet name="Densidad conjunto 0-4mm" sheetId="17" r:id="rId23"/>
    <sheet name="Equivalente de arena 0-2mm" sheetId="10" r:id="rId24"/>
    <sheet name="Equivalente de arena 0-4mm" sheetId="11" r:id="rId25"/>
    <sheet name="Azul de metileno" sheetId="29" r:id="rId26"/>
    <sheet name="Friabilidad 0-4mm" sheetId="19" r:id="rId27"/>
    <sheet name="Otros (componentes)" sheetId="27" r:id="rId28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3" i="29" l="1"/>
  <c r="L13" i="29"/>
  <c r="C13" i="29"/>
  <c r="E5" i="29"/>
  <c r="E6" i="29"/>
  <c r="G6" i="29"/>
  <c r="C14" i="29"/>
  <c r="E15" i="29"/>
  <c r="C19" i="29"/>
  <c r="C20" i="29"/>
  <c r="E21" i="29"/>
  <c r="G21" i="29"/>
  <c r="C28" i="29"/>
  <c r="C29" i="29"/>
  <c r="E30" i="29"/>
  <c r="G22" i="28"/>
  <c r="G21" i="28"/>
  <c r="G24" i="28"/>
  <c r="G19" i="28"/>
  <c r="G14" i="28"/>
  <c r="G13" i="28"/>
  <c r="G11" i="28"/>
  <c r="G6" i="28"/>
  <c r="G5" i="28"/>
  <c r="G8" i="28"/>
  <c r="G3" i="28"/>
  <c r="I5" i="28"/>
  <c r="I21" i="28"/>
  <c r="G16" i="28"/>
  <c r="I13" i="28"/>
  <c r="F5" i="22"/>
  <c r="F13" i="22"/>
  <c r="F15" i="22"/>
  <c r="F20" i="22"/>
  <c r="F28" i="22"/>
  <c r="F30" i="22"/>
  <c r="C36" i="22"/>
  <c r="F23" i="22"/>
  <c r="D26" i="28"/>
  <c r="F25" i="22"/>
  <c r="E21" i="26"/>
  <c r="E20" i="26"/>
  <c r="E17" i="26"/>
  <c r="E9" i="26"/>
  <c r="E8" i="26"/>
  <c r="E5" i="26"/>
  <c r="E5" i="25"/>
  <c r="E9" i="25"/>
  <c r="E11" i="25"/>
  <c r="E17" i="25"/>
  <c r="E21" i="25"/>
  <c r="E23" i="25"/>
  <c r="C27" i="25"/>
  <c r="E20" i="25"/>
  <c r="E8" i="25"/>
  <c r="E23" i="26"/>
  <c r="E11" i="26"/>
  <c r="C27" i="26"/>
  <c r="D11" i="24"/>
  <c r="D7" i="24"/>
  <c r="D13" i="24"/>
  <c r="D25" i="24"/>
  <c r="D21" i="24"/>
  <c r="D27" i="24"/>
  <c r="D32" i="24"/>
  <c r="C41" i="24"/>
  <c r="F32" i="16"/>
  <c r="E32" i="16"/>
  <c r="F15" i="16"/>
  <c r="E15" i="16"/>
  <c r="F32" i="15"/>
  <c r="E32" i="15"/>
  <c r="F15" i="15"/>
  <c r="E15" i="15"/>
  <c r="E28" i="13"/>
  <c r="E33" i="13"/>
  <c r="E37" i="13"/>
  <c r="P37" i="13"/>
  <c r="O37" i="13"/>
  <c r="N37" i="13"/>
  <c r="M37" i="13"/>
  <c r="P36" i="13"/>
  <c r="O36" i="13"/>
  <c r="N36" i="13"/>
  <c r="M36" i="13"/>
  <c r="P35" i="13"/>
  <c r="O35" i="13"/>
  <c r="N35" i="13"/>
  <c r="M35" i="13"/>
  <c r="P34" i="13"/>
  <c r="O34" i="13"/>
  <c r="N34" i="13"/>
  <c r="M34" i="13"/>
  <c r="P33" i="13"/>
  <c r="O33" i="13"/>
  <c r="N33" i="13"/>
  <c r="M33" i="13"/>
  <c r="P32" i="13"/>
  <c r="O32" i="13"/>
  <c r="N32" i="13"/>
  <c r="M32" i="13"/>
  <c r="P31" i="13"/>
  <c r="O31" i="13"/>
  <c r="N31" i="13"/>
  <c r="M31" i="13"/>
  <c r="E34" i="13"/>
  <c r="E36" i="13"/>
  <c r="T36" i="13"/>
  <c r="E32" i="13"/>
  <c r="S32" i="13"/>
  <c r="Q33" i="13"/>
  <c r="Q37" i="13"/>
  <c r="D38" i="13"/>
  <c r="E38" i="13"/>
  <c r="F38" i="13"/>
  <c r="E35" i="13"/>
  <c r="E31" i="13"/>
  <c r="T31" i="13"/>
  <c r="Q31" i="13"/>
  <c r="Q35" i="13"/>
  <c r="S34" i="13"/>
  <c r="Q34" i="13"/>
  <c r="R37" i="13"/>
  <c r="R31" i="13"/>
  <c r="F36" i="13"/>
  <c r="R35" i="13"/>
  <c r="F34" i="13"/>
  <c r="T34" i="13"/>
  <c r="R33" i="13"/>
  <c r="T32" i="13"/>
  <c r="F32" i="13"/>
  <c r="S31" i="13"/>
  <c r="S35" i="13"/>
  <c r="S37" i="13"/>
  <c r="F31" i="13"/>
  <c r="R32" i="13"/>
  <c r="F33" i="13"/>
  <c r="T33" i="13"/>
  <c r="R34" i="13"/>
  <c r="F35" i="13"/>
  <c r="T35" i="13"/>
  <c r="F37" i="13"/>
  <c r="T37" i="13"/>
  <c r="V38" i="13"/>
  <c r="S33" i="13"/>
  <c r="Q36" i="13"/>
  <c r="S36" i="13"/>
  <c r="V44" i="13"/>
  <c r="X44" i="13"/>
  <c r="R36" i="13"/>
  <c r="E41" i="13"/>
  <c r="Q32" i="13"/>
  <c r="V40" i="13"/>
  <c r="X40" i="13"/>
  <c r="V42" i="13"/>
  <c r="X42" i="13"/>
  <c r="V46" i="13"/>
  <c r="X46" i="13"/>
  <c r="E14" i="23"/>
  <c r="E13" i="23"/>
  <c r="E6" i="23"/>
  <c r="E5" i="23"/>
  <c r="F8" i="22"/>
  <c r="F18" i="21"/>
  <c r="F15" i="21"/>
  <c r="F8" i="21"/>
  <c r="F5" i="21"/>
  <c r="E25" i="20"/>
  <c r="E24" i="20"/>
  <c r="E8" i="20"/>
  <c r="G13" i="20"/>
  <c r="E7" i="20"/>
  <c r="F12" i="19"/>
  <c r="F14" i="19"/>
  <c r="F5" i="19"/>
  <c r="F7" i="19"/>
  <c r="F10" i="21"/>
  <c r="F10" i="22"/>
  <c r="C34" i="22"/>
  <c r="F20" i="21"/>
  <c r="G29" i="20"/>
  <c r="G12" i="20"/>
  <c r="C18" i="19"/>
  <c r="C19" i="19"/>
  <c r="E16" i="23"/>
  <c r="E8" i="23"/>
  <c r="C20" i="23"/>
  <c r="G33" i="20"/>
  <c r="G30" i="20"/>
  <c r="I30" i="20"/>
  <c r="G16" i="20"/>
  <c r="I13" i="20"/>
  <c r="G11" i="20"/>
  <c r="G28" i="20"/>
  <c r="J30" i="20"/>
  <c r="F31" i="4"/>
  <c r="E38" i="4"/>
  <c r="E17" i="4"/>
  <c r="C39" i="4"/>
  <c r="F36" i="4"/>
  <c r="F35" i="4"/>
  <c r="F34" i="4"/>
  <c r="F33" i="4"/>
  <c r="F32" i="4"/>
  <c r="E27" i="4"/>
  <c r="C24" i="21"/>
  <c r="C43" i="20"/>
  <c r="C39" i="20"/>
  <c r="C40" i="20"/>
  <c r="C38" i="20"/>
  <c r="J13" i="20"/>
  <c r="C41" i="4"/>
  <c r="F40" i="4"/>
  <c r="C89" i="12"/>
  <c r="D112" i="18"/>
  <c r="E112" i="18"/>
  <c r="D113" i="18"/>
  <c r="E113" i="18"/>
  <c r="D114" i="18"/>
  <c r="E114" i="18"/>
  <c r="D115" i="18"/>
  <c r="E115" i="18"/>
  <c r="D116" i="18"/>
  <c r="E116" i="18"/>
  <c r="D117" i="18"/>
  <c r="E117" i="18"/>
  <c r="D118" i="18"/>
  <c r="E118" i="18"/>
  <c r="D111" i="18"/>
  <c r="E111" i="18"/>
  <c r="E103" i="18"/>
  <c r="E105" i="18"/>
  <c r="E100" i="18"/>
  <c r="E101" i="18"/>
  <c r="E102" i="18"/>
  <c r="E104" i="18"/>
  <c r="E99" i="18"/>
  <c r="E29" i="18"/>
  <c r="E9" i="18"/>
  <c r="E25" i="18"/>
  <c r="D36" i="18"/>
  <c r="I56" i="18"/>
  <c r="E5" i="18"/>
  <c r="H57" i="18"/>
  <c r="F30" i="17"/>
  <c r="F31" i="17"/>
  <c r="F33" i="17"/>
  <c r="E30" i="17"/>
  <c r="E31" i="17"/>
  <c r="E33" i="17"/>
  <c r="E22" i="17"/>
  <c r="F26" i="17"/>
  <c r="F13" i="17"/>
  <c r="F14" i="17"/>
  <c r="F16" i="17"/>
  <c r="E13" i="17"/>
  <c r="E14" i="17"/>
  <c r="E16" i="17"/>
  <c r="E5" i="17"/>
  <c r="E9" i="17"/>
  <c r="F30" i="16"/>
  <c r="F31" i="16"/>
  <c r="F33" i="16"/>
  <c r="E30" i="16"/>
  <c r="E31" i="16"/>
  <c r="E33" i="16"/>
  <c r="E22" i="16"/>
  <c r="E26" i="16"/>
  <c r="F13" i="16"/>
  <c r="F14" i="16"/>
  <c r="F16" i="16"/>
  <c r="E13" i="16"/>
  <c r="E14" i="16"/>
  <c r="C38" i="16"/>
  <c r="E5" i="16"/>
  <c r="F9" i="16"/>
  <c r="F30" i="15"/>
  <c r="F31" i="15"/>
  <c r="F33" i="15"/>
  <c r="E30" i="15"/>
  <c r="E31" i="15"/>
  <c r="E33" i="15"/>
  <c r="E22" i="15"/>
  <c r="F26" i="15"/>
  <c r="F13" i="15"/>
  <c r="F14" i="15"/>
  <c r="F16" i="15"/>
  <c r="E13" i="15"/>
  <c r="E14" i="15"/>
  <c r="E5" i="15"/>
  <c r="F9" i="15"/>
  <c r="C38" i="15"/>
  <c r="H9" i="18"/>
  <c r="D16" i="18"/>
  <c r="H56" i="18"/>
  <c r="H58" i="18"/>
  <c r="G36" i="18"/>
  <c r="J56" i="18"/>
  <c r="C39" i="17"/>
  <c r="G9" i="18"/>
  <c r="G35" i="18"/>
  <c r="G16" i="18"/>
  <c r="G33" i="18"/>
  <c r="G30" i="18"/>
  <c r="I57" i="18"/>
  <c r="I58" i="18"/>
  <c r="G29" i="18"/>
  <c r="G34" i="18"/>
  <c r="G31" i="18"/>
  <c r="G13" i="18"/>
  <c r="G32" i="18"/>
  <c r="G11" i="18"/>
  <c r="G15" i="18"/>
  <c r="G10" i="18"/>
  <c r="G14" i="18"/>
  <c r="G12" i="18"/>
  <c r="F9" i="17"/>
  <c r="E26" i="17"/>
  <c r="C38" i="17"/>
  <c r="F26" i="16"/>
  <c r="E16" i="16"/>
  <c r="C39" i="16"/>
  <c r="E9" i="16"/>
  <c r="E9" i="15"/>
  <c r="E26" i="15"/>
  <c r="E16" i="15"/>
  <c r="C39" i="15"/>
  <c r="E29" i="14"/>
  <c r="E28" i="14"/>
  <c r="E16" i="14"/>
  <c r="E15" i="14"/>
  <c r="E7" i="14"/>
  <c r="E8" i="14"/>
  <c r="E10" i="14"/>
  <c r="E5" i="13"/>
  <c r="E8" i="13"/>
  <c r="P8" i="13"/>
  <c r="T8" i="13"/>
  <c r="N8" i="13"/>
  <c r="R8" i="13"/>
  <c r="M8" i="13"/>
  <c r="Q8" i="13"/>
  <c r="P9" i="13"/>
  <c r="P10" i="13"/>
  <c r="P11" i="13"/>
  <c r="P12" i="13"/>
  <c r="P13" i="13"/>
  <c r="P14" i="13"/>
  <c r="O9" i="13"/>
  <c r="O10" i="13"/>
  <c r="O11" i="13"/>
  <c r="O12" i="13"/>
  <c r="O13" i="13"/>
  <c r="O14" i="13"/>
  <c r="O8" i="13"/>
  <c r="N9" i="13"/>
  <c r="N10" i="13"/>
  <c r="N11" i="13"/>
  <c r="N12" i="13"/>
  <c r="N13" i="13"/>
  <c r="N14" i="13"/>
  <c r="M9" i="13"/>
  <c r="M10" i="13"/>
  <c r="M11" i="13"/>
  <c r="M12" i="13"/>
  <c r="M13" i="13"/>
  <c r="M14" i="13"/>
  <c r="E13" i="13"/>
  <c r="Q13" i="13"/>
  <c r="S8" i="13"/>
  <c r="J57" i="18"/>
  <c r="J58" i="18"/>
  <c r="E14" i="13"/>
  <c r="Q14" i="13"/>
  <c r="G39" i="18"/>
  <c r="G19" i="18"/>
  <c r="E31" i="14"/>
  <c r="E18" i="14"/>
  <c r="C22" i="14"/>
  <c r="F8" i="13"/>
  <c r="E9" i="13"/>
  <c r="E10" i="13"/>
  <c r="E11" i="13"/>
  <c r="E12" i="13"/>
  <c r="V15" i="13"/>
  <c r="D15" i="13"/>
  <c r="E16" i="12"/>
  <c r="C81" i="12"/>
  <c r="E87" i="12"/>
  <c r="E89" i="12"/>
  <c r="G89" i="12"/>
  <c r="E65" i="12"/>
  <c r="E62" i="12"/>
  <c r="E31" i="12"/>
  <c r="E28" i="12"/>
  <c r="E43" i="12"/>
  <c r="E8" i="12"/>
  <c r="E5" i="12"/>
  <c r="E10" i="12"/>
  <c r="F22" i="12"/>
  <c r="E34" i="11"/>
  <c r="E31" i="11"/>
  <c r="E36" i="11"/>
  <c r="E23" i="11"/>
  <c r="E20" i="11"/>
  <c r="E40" i="10"/>
  <c r="E37" i="10"/>
  <c r="E29" i="10"/>
  <c r="E26" i="10"/>
  <c r="E31" i="10"/>
  <c r="E20" i="10"/>
  <c r="E15" i="10"/>
  <c r="E12" i="10"/>
  <c r="E6" i="10"/>
  <c r="E5" i="10"/>
  <c r="E19" i="9"/>
  <c r="E21" i="9"/>
  <c r="E16" i="9"/>
  <c r="E8" i="9"/>
  <c r="E10" i="9"/>
  <c r="C26" i="9"/>
  <c r="E26" i="9"/>
  <c r="C5" i="9"/>
  <c r="E5" i="9"/>
  <c r="E19" i="8"/>
  <c r="E18" i="8"/>
  <c r="E8" i="8"/>
  <c r="E7" i="8"/>
  <c r="E10" i="8"/>
  <c r="E25" i="7"/>
  <c r="E24" i="7"/>
  <c r="G29" i="7"/>
  <c r="E8" i="7"/>
  <c r="G13" i="7"/>
  <c r="E7" i="7"/>
  <c r="G16" i="7"/>
  <c r="G12" i="7"/>
  <c r="E42" i="10"/>
  <c r="C47" i="10"/>
  <c r="C49" i="10"/>
  <c r="C39" i="7"/>
  <c r="T11" i="13"/>
  <c r="R11" i="13"/>
  <c r="S11" i="13"/>
  <c r="Q11" i="13"/>
  <c r="I13" i="7"/>
  <c r="E25" i="11"/>
  <c r="G18" i="12"/>
  <c r="E95" i="12"/>
  <c r="S14" i="13"/>
  <c r="S9" i="13"/>
  <c r="S10" i="13"/>
  <c r="S12" i="13"/>
  <c r="S13" i="13"/>
  <c r="V21" i="13"/>
  <c r="X21" i="13"/>
  <c r="E54" i="13"/>
  <c r="T14" i="13"/>
  <c r="R10" i="13"/>
  <c r="Q10" i="13"/>
  <c r="T10" i="13"/>
  <c r="E93" i="12"/>
  <c r="T13" i="13"/>
  <c r="R13" i="13"/>
  <c r="Q9" i="13"/>
  <c r="Q12" i="13"/>
  <c r="V17" i="13"/>
  <c r="X17" i="13"/>
  <c r="E50" i="13"/>
  <c r="R9" i="13"/>
  <c r="R12" i="13"/>
  <c r="R14" i="13"/>
  <c r="V19" i="13"/>
  <c r="X19" i="13"/>
  <c r="E52" i="13"/>
  <c r="T9" i="13"/>
  <c r="G11" i="7"/>
  <c r="J13" i="7"/>
  <c r="G65" i="12"/>
  <c r="G67" i="12"/>
  <c r="E85" i="12"/>
  <c r="E91" i="12"/>
  <c r="T12" i="13"/>
  <c r="E15" i="13"/>
  <c r="F15" i="13"/>
  <c r="F14" i="13"/>
  <c r="F10" i="13"/>
  <c r="F13" i="13"/>
  <c r="F9" i="13"/>
  <c r="F12" i="13"/>
  <c r="F11" i="13"/>
  <c r="E33" i="12"/>
  <c r="G43" i="12"/>
  <c r="C41" i="11"/>
  <c r="C43" i="11"/>
  <c r="G6" i="10"/>
  <c r="G15" i="10"/>
  <c r="E21" i="8"/>
  <c r="C26" i="8"/>
  <c r="G33" i="7"/>
  <c r="C43" i="7"/>
  <c r="G30" i="7"/>
  <c r="I30" i="7"/>
  <c r="G28" i="7"/>
  <c r="J30" i="7"/>
  <c r="E41" i="6"/>
  <c r="E42" i="6"/>
  <c r="E44" i="6"/>
  <c r="D41" i="6"/>
  <c r="D42" i="6"/>
  <c r="D44" i="6"/>
  <c r="C41" i="6"/>
  <c r="C42" i="6"/>
  <c r="C44" i="6"/>
  <c r="F30" i="6"/>
  <c r="F31" i="6"/>
  <c r="F33" i="6"/>
  <c r="E30" i="6"/>
  <c r="E31" i="6"/>
  <c r="E33" i="6"/>
  <c r="E22" i="6"/>
  <c r="F26" i="6"/>
  <c r="F13" i="6"/>
  <c r="F14" i="6"/>
  <c r="F16" i="6"/>
  <c r="E13" i="6"/>
  <c r="E14" i="6"/>
  <c r="E5" i="6"/>
  <c r="E9" i="6"/>
  <c r="J30" i="5"/>
  <c r="J29" i="5"/>
  <c r="J35" i="5"/>
  <c r="J34" i="5"/>
  <c r="J33" i="5"/>
  <c r="J32" i="5"/>
  <c r="J31" i="5"/>
  <c r="E26" i="5"/>
  <c r="E30" i="5"/>
  <c r="K30" i="5"/>
  <c r="J9" i="5"/>
  <c r="J10" i="5"/>
  <c r="J11" i="5"/>
  <c r="J12" i="5"/>
  <c r="J13" i="5"/>
  <c r="J14" i="5"/>
  <c r="E5" i="5"/>
  <c r="E11" i="5"/>
  <c r="F11" i="5"/>
  <c r="E12" i="5"/>
  <c r="F12" i="5"/>
  <c r="C18" i="4"/>
  <c r="F19" i="4"/>
  <c r="E44" i="4"/>
  <c r="C6" i="4"/>
  <c r="E6" i="4"/>
  <c r="C20" i="4"/>
  <c r="F10" i="4"/>
  <c r="F11" i="4"/>
  <c r="F12" i="4"/>
  <c r="F13" i="4"/>
  <c r="F14" i="4"/>
  <c r="F15" i="4"/>
  <c r="E16" i="6"/>
  <c r="C50" i="6"/>
  <c r="C49" i="6"/>
  <c r="E18" i="13"/>
  <c r="E31" i="5"/>
  <c r="F31" i="5"/>
  <c r="E29" i="5"/>
  <c r="E35" i="5"/>
  <c r="C38" i="7"/>
  <c r="E14" i="5"/>
  <c r="F14" i="5"/>
  <c r="K12" i="5"/>
  <c r="E32" i="5"/>
  <c r="V23" i="13"/>
  <c r="X23" i="13"/>
  <c r="E56" i="13"/>
  <c r="C40" i="7"/>
  <c r="G35" i="12"/>
  <c r="G37" i="12"/>
  <c r="C52" i="12"/>
  <c r="D74" i="12"/>
  <c r="C76" i="12"/>
  <c r="G47" i="12"/>
  <c r="G45" i="12"/>
  <c r="F9" i="6"/>
  <c r="E26" i="6"/>
  <c r="K11" i="5"/>
  <c r="E34" i="5"/>
  <c r="K34" i="5"/>
  <c r="D36" i="5"/>
  <c r="E36" i="5"/>
  <c r="F36" i="5"/>
  <c r="E8" i="5"/>
  <c r="E33" i="5"/>
  <c r="F33" i="5"/>
  <c r="K35" i="5"/>
  <c r="K32" i="5"/>
  <c r="K33" i="5"/>
  <c r="F35" i="5"/>
  <c r="F32" i="5"/>
  <c r="F30" i="5"/>
  <c r="F29" i="5"/>
  <c r="K29" i="5"/>
  <c r="E9" i="5"/>
  <c r="E10" i="5"/>
  <c r="E13" i="5"/>
  <c r="D15" i="5"/>
  <c r="E15" i="5"/>
  <c r="F15" i="5"/>
  <c r="F111" i="3"/>
  <c r="F112" i="3"/>
  <c r="F113" i="3"/>
  <c r="F114" i="3"/>
  <c r="F115" i="3"/>
  <c r="F116" i="3"/>
  <c r="F110" i="3"/>
  <c r="D129" i="3"/>
  <c r="E129" i="3"/>
  <c r="D132" i="3"/>
  <c r="E132" i="3"/>
  <c r="D133" i="3"/>
  <c r="E133" i="3"/>
  <c r="D130" i="3"/>
  <c r="E130" i="3"/>
  <c r="D131" i="3"/>
  <c r="E131" i="3"/>
  <c r="D134" i="3"/>
  <c r="E134" i="3"/>
  <c r="D135" i="3"/>
  <c r="E135" i="3"/>
  <c r="D123" i="3"/>
  <c r="E123" i="3"/>
  <c r="D124" i="3"/>
  <c r="E124" i="3"/>
  <c r="D125" i="3"/>
  <c r="E125" i="3"/>
  <c r="D126" i="3"/>
  <c r="E126" i="3"/>
  <c r="D127" i="3"/>
  <c r="E127" i="3"/>
  <c r="D128" i="3"/>
  <c r="E128" i="3"/>
  <c r="D122" i="3"/>
  <c r="E122" i="3"/>
  <c r="E31" i="3"/>
  <c r="G38" i="3"/>
  <c r="G39" i="3"/>
  <c r="G42" i="3"/>
  <c r="G43" i="3"/>
  <c r="G46" i="3"/>
  <c r="G47" i="3"/>
  <c r="E35" i="3"/>
  <c r="H35" i="3"/>
  <c r="D57" i="3"/>
  <c r="I69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5" i="3"/>
  <c r="D22" i="3"/>
  <c r="G22" i="3"/>
  <c r="I67" i="1"/>
  <c r="H67" i="1"/>
  <c r="D48" i="1"/>
  <c r="E46" i="1"/>
  <c r="E45" i="1"/>
  <c r="E30" i="1"/>
  <c r="I45" i="1"/>
  <c r="E44" i="1"/>
  <c r="I44" i="1"/>
  <c r="E43" i="1"/>
  <c r="E42" i="1"/>
  <c r="I42" i="1"/>
  <c r="E41" i="1"/>
  <c r="I41" i="1"/>
  <c r="E40" i="1"/>
  <c r="E39" i="1"/>
  <c r="I39" i="1"/>
  <c r="E38" i="1"/>
  <c r="I38" i="1"/>
  <c r="E37" i="1"/>
  <c r="I37" i="1"/>
  <c r="E36" i="1"/>
  <c r="I36" i="1"/>
  <c r="E35" i="1"/>
  <c r="E34" i="1"/>
  <c r="I34" i="1"/>
  <c r="I68" i="1"/>
  <c r="D23" i="1"/>
  <c r="E21" i="1"/>
  <c r="E20" i="1"/>
  <c r="E5" i="1"/>
  <c r="I20" i="1"/>
  <c r="E19" i="1"/>
  <c r="I19" i="1"/>
  <c r="E18" i="1"/>
  <c r="I18" i="1"/>
  <c r="E17" i="1"/>
  <c r="E16" i="1"/>
  <c r="I16" i="1"/>
  <c r="E15" i="1"/>
  <c r="I15" i="1"/>
  <c r="E14" i="1"/>
  <c r="I14" i="1"/>
  <c r="E13" i="1"/>
  <c r="I13" i="1"/>
  <c r="E12" i="1"/>
  <c r="I12" i="1"/>
  <c r="E11" i="1"/>
  <c r="I11" i="1"/>
  <c r="E10" i="1"/>
  <c r="I10" i="1"/>
  <c r="E9" i="1"/>
  <c r="I9" i="1"/>
  <c r="F22" i="3"/>
  <c r="E22" i="3"/>
  <c r="K39" i="5"/>
  <c r="K31" i="5"/>
  <c r="K37" i="5"/>
  <c r="K41" i="5"/>
  <c r="G34" i="1"/>
  <c r="J34" i="1"/>
  <c r="K34" i="1"/>
  <c r="I40" i="1"/>
  <c r="G45" i="3"/>
  <c r="G41" i="3"/>
  <c r="G37" i="3"/>
  <c r="I17" i="1"/>
  <c r="I35" i="1"/>
  <c r="I43" i="1"/>
  <c r="G35" i="3"/>
  <c r="G44" i="3"/>
  <c r="G40" i="3"/>
  <c r="G36" i="3"/>
  <c r="K14" i="5"/>
  <c r="E10" i="18"/>
  <c r="D54" i="12"/>
  <c r="D56" i="12"/>
  <c r="F13" i="5"/>
  <c r="K13" i="5"/>
  <c r="F10" i="5"/>
  <c r="K10" i="5"/>
  <c r="F9" i="5"/>
  <c r="K9" i="5"/>
  <c r="E39" i="5"/>
  <c r="F34" i="5"/>
  <c r="F8" i="5"/>
  <c r="E18" i="5"/>
  <c r="K18" i="5"/>
  <c r="K8" i="5"/>
  <c r="K16" i="5"/>
  <c r="D48" i="3"/>
  <c r="G48" i="3"/>
  <c r="G9" i="3"/>
  <c r="G18" i="3"/>
  <c r="G14" i="3"/>
  <c r="G10" i="3"/>
  <c r="H18" i="3"/>
  <c r="H14" i="3"/>
  <c r="H10" i="3"/>
  <c r="I35" i="3"/>
  <c r="G21" i="3"/>
  <c r="G17" i="3"/>
  <c r="G13" i="3"/>
  <c r="H21" i="3"/>
  <c r="H17" i="3"/>
  <c r="H13" i="3"/>
  <c r="G20" i="3"/>
  <c r="G16" i="3"/>
  <c r="G12" i="3"/>
  <c r="H20" i="3"/>
  <c r="H16" i="3"/>
  <c r="H12" i="3"/>
  <c r="G19" i="3"/>
  <c r="G15" i="3"/>
  <c r="G11" i="3"/>
  <c r="H19" i="3"/>
  <c r="H15" i="3"/>
  <c r="H11" i="3"/>
  <c r="H22" i="3"/>
  <c r="E36" i="3"/>
  <c r="H36" i="3"/>
  <c r="D58" i="3"/>
  <c r="H9" i="3"/>
  <c r="I9" i="3"/>
  <c r="H69" i="3"/>
  <c r="I70" i="3"/>
  <c r="J68" i="3"/>
  <c r="D56" i="1"/>
  <c r="H68" i="1"/>
  <c r="F21" i="1"/>
  <c r="I21" i="1"/>
  <c r="I24" i="1"/>
  <c r="G35" i="1"/>
  <c r="F46" i="1"/>
  <c r="I46" i="1"/>
  <c r="I49" i="1"/>
  <c r="I69" i="1"/>
  <c r="G9" i="1"/>
  <c r="J67" i="1"/>
  <c r="I19" i="3"/>
  <c r="C67" i="3"/>
  <c r="I22" i="3"/>
  <c r="C70" i="3"/>
  <c r="I16" i="3"/>
  <c r="C64" i="3"/>
  <c r="I10" i="3"/>
  <c r="C58" i="3"/>
  <c r="E58" i="3"/>
  <c r="I12" i="3"/>
  <c r="C60" i="3"/>
  <c r="I21" i="3"/>
  <c r="C69" i="3"/>
  <c r="I11" i="3"/>
  <c r="C59" i="3"/>
  <c r="E37" i="3"/>
  <c r="H37" i="3"/>
  <c r="D59" i="3"/>
  <c r="E59" i="3"/>
  <c r="I20" i="3"/>
  <c r="C68" i="3"/>
  <c r="I13" i="3"/>
  <c r="C61" i="3"/>
  <c r="I14" i="3"/>
  <c r="C62" i="3"/>
  <c r="I15" i="3"/>
  <c r="C63" i="3"/>
  <c r="I17" i="3"/>
  <c r="C65" i="3"/>
  <c r="I18" i="3"/>
  <c r="C66" i="3"/>
  <c r="K20" i="5"/>
  <c r="E44" i="5"/>
  <c r="H29" i="18"/>
  <c r="E30" i="18"/>
  <c r="E11" i="18"/>
  <c r="H10" i="18"/>
  <c r="I9" i="18"/>
  <c r="C45" i="18"/>
  <c r="G51" i="3"/>
  <c r="I36" i="3"/>
  <c r="G25" i="3"/>
  <c r="H70" i="3"/>
  <c r="J69" i="3"/>
  <c r="J70" i="3"/>
  <c r="C57" i="3"/>
  <c r="H69" i="1"/>
  <c r="J68" i="1"/>
  <c r="J69" i="1"/>
  <c r="G10" i="1"/>
  <c r="J9" i="1"/>
  <c r="J35" i="1"/>
  <c r="G36" i="1"/>
  <c r="E57" i="3"/>
  <c r="H62" i="3"/>
  <c r="E31" i="18"/>
  <c r="H30" i="18"/>
  <c r="I29" i="18"/>
  <c r="D45" i="18"/>
  <c r="I10" i="18"/>
  <c r="C46" i="18"/>
  <c r="H11" i="18"/>
  <c r="E12" i="18"/>
  <c r="I37" i="3"/>
  <c r="E38" i="3"/>
  <c r="H38" i="3"/>
  <c r="D60" i="3"/>
  <c r="E60" i="3"/>
  <c r="F58" i="3"/>
  <c r="C103" i="3"/>
  <c r="C123" i="3"/>
  <c r="G37" i="1"/>
  <c r="J36" i="1"/>
  <c r="G11" i="1"/>
  <c r="J10" i="1"/>
  <c r="D57" i="1"/>
  <c r="K35" i="1"/>
  <c r="C56" i="1"/>
  <c r="K9" i="1"/>
  <c r="E45" i="18"/>
  <c r="C90" i="18"/>
  <c r="D46" i="18"/>
  <c r="E46" i="18"/>
  <c r="I30" i="18"/>
  <c r="H31" i="18"/>
  <c r="E32" i="18"/>
  <c r="E13" i="18"/>
  <c r="H12" i="18"/>
  <c r="I11" i="18"/>
  <c r="C47" i="18"/>
  <c r="I38" i="3"/>
  <c r="E39" i="3"/>
  <c r="H39" i="3"/>
  <c r="D61" i="3"/>
  <c r="E61" i="3"/>
  <c r="F59" i="3"/>
  <c r="C104" i="3"/>
  <c r="C124" i="3"/>
  <c r="F57" i="3"/>
  <c r="C102" i="3"/>
  <c r="C122" i="3"/>
  <c r="J11" i="1"/>
  <c r="G12" i="1"/>
  <c r="K36" i="1"/>
  <c r="D58" i="1"/>
  <c r="K10" i="1"/>
  <c r="C57" i="1"/>
  <c r="E57" i="1"/>
  <c r="F57" i="1"/>
  <c r="E56" i="1"/>
  <c r="G38" i="1"/>
  <c r="J37" i="1"/>
  <c r="F46" i="18"/>
  <c r="C112" i="18"/>
  <c r="C91" i="18"/>
  <c r="F45" i="18"/>
  <c r="C111" i="18"/>
  <c r="I31" i="18"/>
  <c r="D47" i="18"/>
  <c r="E47" i="18"/>
  <c r="C92" i="18"/>
  <c r="H32" i="18"/>
  <c r="E33" i="18"/>
  <c r="I12" i="18"/>
  <c r="C48" i="18"/>
  <c r="E14" i="18"/>
  <c r="H13" i="18"/>
  <c r="I39" i="3"/>
  <c r="E40" i="3"/>
  <c r="H40" i="3"/>
  <c r="D62" i="3"/>
  <c r="E62" i="3"/>
  <c r="F60" i="3"/>
  <c r="C105" i="3"/>
  <c r="C125" i="3"/>
  <c r="K37" i="1"/>
  <c r="D59" i="1"/>
  <c r="J12" i="1"/>
  <c r="G13" i="1"/>
  <c r="F56" i="1"/>
  <c r="J38" i="1"/>
  <c r="G39" i="1"/>
  <c r="K11" i="1"/>
  <c r="C58" i="1"/>
  <c r="F47" i="18"/>
  <c r="C113" i="18"/>
  <c r="D48" i="18"/>
  <c r="E48" i="18"/>
  <c r="C93" i="18"/>
  <c r="I32" i="18"/>
  <c r="H33" i="18"/>
  <c r="E34" i="18"/>
  <c r="E15" i="18"/>
  <c r="E16" i="18"/>
  <c r="H14" i="18"/>
  <c r="I13" i="18"/>
  <c r="C49" i="18"/>
  <c r="I40" i="3"/>
  <c r="E41" i="3"/>
  <c r="H41" i="3"/>
  <c r="D63" i="3"/>
  <c r="E63" i="3"/>
  <c r="K38" i="1"/>
  <c r="D60" i="1"/>
  <c r="K12" i="1"/>
  <c r="C59" i="1"/>
  <c r="E59" i="1"/>
  <c r="F59" i="1"/>
  <c r="E58" i="1"/>
  <c r="J39" i="1"/>
  <c r="G40" i="1"/>
  <c r="G14" i="1"/>
  <c r="J13" i="1"/>
  <c r="F48" i="18"/>
  <c r="C114" i="18"/>
  <c r="I33" i="18"/>
  <c r="D49" i="18"/>
  <c r="H34" i="18"/>
  <c r="E35" i="18"/>
  <c r="I14" i="18"/>
  <c r="C50" i="18"/>
  <c r="H15" i="18"/>
  <c r="F16" i="18"/>
  <c r="H16" i="18"/>
  <c r="I41" i="3"/>
  <c r="E42" i="3"/>
  <c r="H42" i="3"/>
  <c r="D64" i="3"/>
  <c r="E64" i="3"/>
  <c r="F61" i="3"/>
  <c r="C106" i="3"/>
  <c r="C126" i="3"/>
  <c r="F62" i="3"/>
  <c r="C107" i="3"/>
  <c r="C127" i="3"/>
  <c r="G41" i="1"/>
  <c r="J40" i="1"/>
  <c r="D61" i="1"/>
  <c r="K39" i="1"/>
  <c r="C60" i="1"/>
  <c r="E60" i="1"/>
  <c r="F60" i="1"/>
  <c r="K13" i="1"/>
  <c r="G15" i="1"/>
  <c r="J14" i="1"/>
  <c r="F58" i="1"/>
  <c r="E49" i="18"/>
  <c r="C94" i="18"/>
  <c r="D50" i="18"/>
  <c r="E50" i="18"/>
  <c r="I34" i="18"/>
  <c r="F36" i="18"/>
  <c r="H36" i="18"/>
  <c r="H35" i="18"/>
  <c r="E36" i="18"/>
  <c r="C51" i="18"/>
  <c r="I15" i="18"/>
  <c r="C52" i="18"/>
  <c r="I16" i="18"/>
  <c r="I42" i="3"/>
  <c r="E43" i="3"/>
  <c r="H43" i="3"/>
  <c r="D65" i="3"/>
  <c r="E65" i="3"/>
  <c r="F63" i="3"/>
  <c r="C108" i="3"/>
  <c r="C128" i="3"/>
  <c r="J15" i="1"/>
  <c r="G16" i="1"/>
  <c r="D62" i="1"/>
  <c r="K40" i="1"/>
  <c r="K14" i="1"/>
  <c r="C61" i="1"/>
  <c r="G42" i="1"/>
  <c r="J41" i="1"/>
  <c r="F50" i="18"/>
  <c r="C116" i="18"/>
  <c r="C95" i="18"/>
  <c r="H50" i="18"/>
  <c r="F49" i="18"/>
  <c r="C115" i="18"/>
  <c r="D52" i="18"/>
  <c r="I36" i="18"/>
  <c r="D51" i="18"/>
  <c r="I50" i="18"/>
  <c r="I35" i="18"/>
  <c r="E52" i="18"/>
  <c r="I43" i="3"/>
  <c r="E44" i="3"/>
  <c r="H44" i="3"/>
  <c r="D66" i="3"/>
  <c r="E66" i="3"/>
  <c r="E61" i="1"/>
  <c r="J74" i="1"/>
  <c r="K41" i="1"/>
  <c r="D63" i="1"/>
  <c r="J42" i="1"/>
  <c r="G43" i="1"/>
  <c r="J16" i="1"/>
  <c r="G17" i="1"/>
  <c r="C62" i="1"/>
  <c r="E62" i="1"/>
  <c r="F62" i="1"/>
  <c r="K15" i="1"/>
  <c r="F52" i="18"/>
  <c r="C118" i="18"/>
  <c r="C97" i="18"/>
  <c r="E51" i="18"/>
  <c r="I44" i="3"/>
  <c r="E45" i="3"/>
  <c r="H45" i="3"/>
  <c r="D67" i="3"/>
  <c r="E67" i="3"/>
  <c r="F64" i="3"/>
  <c r="C109" i="3"/>
  <c r="C129" i="3"/>
  <c r="F65" i="3"/>
  <c r="C110" i="3"/>
  <c r="C130" i="3"/>
  <c r="G18" i="1"/>
  <c r="J17" i="1"/>
  <c r="C63" i="1"/>
  <c r="K16" i="1"/>
  <c r="J43" i="1"/>
  <c r="G44" i="1"/>
  <c r="K42" i="1"/>
  <c r="D64" i="1"/>
  <c r="F61" i="1"/>
  <c r="J50" i="18"/>
  <c r="C96" i="18"/>
  <c r="F51" i="18"/>
  <c r="C117" i="18"/>
  <c r="I45" i="3"/>
  <c r="E46" i="3"/>
  <c r="H46" i="3"/>
  <c r="D68" i="3"/>
  <c r="E68" i="3"/>
  <c r="F66" i="3"/>
  <c r="C111" i="3"/>
  <c r="C131" i="3"/>
  <c r="G45" i="1"/>
  <c r="J44" i="1"/>
  <c r="E63" i="1"/>
  <c r="C64" i="1"/>
  <c r="E64" i="1"/>
  <c r="F64" i="1"/>
  <c r="K17" i="1"/>
  <c r="D65" i="1"/>
  <c r="K43" i="1"/>
  <c r="G19" i="1"/>
  <c r="J18" i="1"/>
  <c r="I46" i="3"/>
  <c r="E47" i="3"/>
  <c r="F67" i="3"/>
  <c r="C112" i="3"/>
  <c r="C132" i="3"/>
  <c r="C65" i="1"/>
  <c r="E65" i="1"/>
  <c r="F65" i="1"/>
  <c r="K18" i="1"/>
  <c r="D66" i="1"/>
  <c r="K44" i="1"/>
  <c r="F63" i="1"/>
  <c r="J19" i="1"/>
  <c r="G20" i="1"/>
  <c r="H46" i="1"/>
  <c r="J46" i="1"/>
  <c r="G46" i="1"/>
  <c r="J45" i="1"/>
  <c r="H47" i="3"/>
  <c r="D69" i="3"/>
  <c r="E69" i="3"/>
  <c r="F48" i="3"/>
  <c r="H48" i="3"/>
  <c r="D70" i="3"/>
  <c r="E48" i="3"/>
  <c r="I48" i="3"/>
  <c r="F68" i="3"/>
  <c r="C113" i="3"/>
  <c r="C133" i="3"/>
  <c r="G21" i="1"/>
  <c r="J20" i="1"/>
  <c r="H21" i="1"/>
  <c r="J21" i="1"/>
  <c r="K45" i="1"/>
  <c r="D67" i="1"/>
  <c r="C66" i="1"/>
  <c r="E66" i="1"/>
  <c r="K19" i="1"/>
  <c r="D68" i="1"/>
  <c r="I61" i="1"/>
  <c r="K46" i="1"/>
  <c r="I62" i="3"/>
  <c r="E70" i="3"/>
  <c r="I47" i="3"/>
  <c r="K21" i="1"/>
  <c r="C68" i="1"/>
  <c r="F66" i="1"/>
  <c r="C67" i="1"/>
  <c r="E67" i="1"/>
  <c r="F67" i="1"/>
  <c r="K20" i="1"/>
  <c r="F70" i="3"/>
  <c r="C115" i="3"/>
  <c r="C135" i="3"/>
  <c r="J62" i="3"/>
  <c r="E68" i="1"/>
  <c r="J61" i="1"/>
  <c r="H61" i="1"/>
  <c r="F68" i="1"/>
  <c r="F69" i="3"/>
  <c r="C114" i="3"/>
  <c r="C134" i="3"/>
</calcChain>
</file>

<file path=xl/sharedStrings.xml><?xml version="1.0" encoding="utf-8"?>
<sst xmlns="http://schemas.openxmlformats.org/spreadsheetml/2006/main" count="1013" uniqueCount="296">
  <si>
    <t xml:space="preserve">Luz tamiz (mm) </t>
  </si>
  <si>
    <t>Masa retenida parcial (g)</t>
  </si>
  <si>
    <t>Masa retenida acumulada (g)</t>
  </si>
  <si>
    <t>Porcentaje retenido parcial (%)</t>
  </si>
  <si>
    <t>Porcentaje pasa acumulado (%)</t>
  </si>
  <si>
    <t>Muestra 1</t>
  </si>
  <si>
    <t>Peso bandeja (g)</t>
  </si>
  <si>
    <t>Mat+bandeja (g)</t>
  </si>
  <si>
    <t>Corrección conservación masa</t>
  </si>
  <si>
    <t>Comprobación</t>
  </si>
  <si>
    <t>Porcentaje retenido acumulado (%)</t>
  </si>
  <si>
    <t>Masa ensayo (g)</t>
  </si>
  <si>
    <t>Fondo (filler)</t>
  </si>
  <si>
    <t>Total</t>
  </si>
  <si>
    <t>No conserva masa</t>
  </si>
  <si>
    <t>Muestra 2</t>
  </si>
  <si>
    <t>Resumen</t>
  </si>
  <si>
    <t>Media aritmética</t>
  </si>
  <si>
    <t>Tamaño máximo árido D (mm)</t>
  </si>
  <si>
    <t>Tamaño mínimo árido d (mm)</t>
  </si>
  <si>
    <r>
      <t>Módulo granulométrico M</t>
    </r>
    <r>
      <rPr>
        <vertAlign val="subscript"/>
        <sz val="11"/>
        <color theme="1"/>
        <rFont val="Calibri"/>
        <family val="2"/>
        <scheme val="minor"/>
      </rPr>
      <t>G</t>
    </r>
  </si>
  <si>
    <t>Designación árido (EHE-08)</t>
  </si>
  <si>
    <t>0,250/31,5 - T- R</t>
  </si>
  <si>
    <t>Designación árido (UNE 146901:2002)</t>
  </si>
  <si>
    <t>GR según tabla 28,3,a EHE-08</t>
  </si>
  <si>
    <t>GR - 0,250/31,5 - T - R</t>
  </si>
  <si>
    <t>Se han realizado por vía seca</t>
  </si>
  <si>
    <t>Masa de ensayo (g)</t>
  </si>
  <si>
    <t>Masa que pasa por tamiz de 0,063 mm (g)</t>
  </si>
  <si>
    <t>Límite EHE-08 AG: 1,50 %</t>
  </si>
  <si>
    <t>Porcentaje de finos f (%)</t>
  </si>
  <si>
    <t>NO CUMPLE</t>
  </si>
  <si>
    <t>Rendimiento (% 4-12,5 obtenido)</t>
  </si>
  <si>
    <t>0,500/11,2 - T- R</t>
  </si>
  <si>
    <t>GR - 0,500/11,2 - T - R</t>
  </si>
  <si>
    <t>CUMPLE</t>
  </si>
  <si>
    <t>CUMPLIMIENTO ASTM C33</t>
  </si>
  <si>
    <t>ASTM C33</t>
  </si>
  <si>
    <t>Límite inferior</t>
  </si>
  <si>
    <t>Límite superior</t>
  </si>
  <si>
    <t>AJUSTE A LA CURVA DE FULLER</t>
  </si>
  <si>
    <t>Curva FULLER</t>
  </si>
  <si>
    <r>
      <t>Y=100 x (d/D)</t>
    </r>
    <r>
      <rPr>
        <b/>
        <vertAlign val="superscript"/>
        <sz val="13"/>
        <color theme="1"/>
        <rFont val="Calibri"/>
        <family val="2"/>
        <scheme val="minor"/>
      </rPr>
      <t>0,5</t>
    </r>
  </si>
  <si>
    <t>Retenido acumulado</t>
  </si>
  <si>
    <t>Luz tamiz barras (mm)</t>
  </si>
  <si>
    <t>Masa pasa tamiz barras (mm)</t>
  </si>
  <si>
    <t>IL fracción granulométrica (%)</t>
  </si>
  <si>
    <t>Suma total</t>
  </si>
  <si>
    <t>Mat pasa por 4mm (g)</t>
  </si>
  <si>
    <t>Porcentaje</t>
  </si>
  <si>
    <t>&lt; 1 %  CUMPLE ENSAYO VÁLIDO</t>
  </si>
  <si>
    <t>IL GLOBAL (%)</t>
  </si>
  <si>
    <t>&lt;35 LÍMITE EHE-08 CUMPLE</t>
  </si>
  <si>
    <t>NECESITA AJUSTE</t>
  </si>
  <si>
    <t>No cumple especificaciones (ASTM C33)</t>
  </si>
  <si>
    <t>Tampoco tiene buen ajuste a FULLER</t>
  </si>
  <si>
    <t>Masa retenida (g)</t>
  </si>
  <si>
    <t>¿Fracción eliminable?</t>
  </si>
  <si>
    <t>NO elimino ninguna</t>
  </si>
  <si>
    <t>Mayor precisión</t>
  </si>
  <si>
    <t>Masa partículas no cúbicas (g)</t>
  </si>
  <si>
    <t>Masa finalmente analizada (g)</t>
  </si>
  <si>
    <t>Número cuarteos</t>
  </si>
  <si>
    <r>
      <t>Porcentaje masa fracción V</t>
    </r>
    <r>
      <rPr>
        <b/>
        <vertAlign val="subscript"/>
        <sz val="13"/>
        <color theme="1"/>
        <rFont val="Calibri"/>
        <family val="2"/>
        <scheme val="minor"/>
      </rPr>
      <t>i</t>
    </r>
    <r>
      <rPr>
        <b/>
        <sz val="13"/>
        <color theme="1"/>
        <rFont val="Calibri"/>
        <family val="2"/>
        <scheme val="minor"/>
      </rPr>
      <t xml:space="preserve"> (%)</t>
    </r>
  </si>
  <si>
    <r>
      <t>Coeficiente forma fracción SI</t>
    </r>
    <r>
      <rPr>
        <b/>
        <vertAlign val="subscript"/>
        <sz val="13"/>
        <color theme="1"/>
        <rFont val="Calibri"/>
        <family val="2"/>
        <scheme val="minor"/>
      </rPr>
      <t>i</t>
    </r>
    <r>
      <rPr>
        <b/>
        <sz val="13"/>
        <color theme="1"/>
        <rFont val="Calibri"/>
        <family val="2"/>
        <scheme val="minor"/>
      </rPr>
      <t xml:space="preserve"> (%)</t>
    </r>
  </si>
  <si>
    <r>
      <t xml:space="preserve"> V</t>
    </r>
    <r>
      <rPr>
        <b/>
        <vertAlign val="subscript"/>
        <sz val="13"/>
        <color theme="1"/>
        <rFont val="Calibri"/>
        <family val="2"/>
        <scheme val="minor"/>
      </rPr>
      <t>i</t>
    </r>
    <r>
      <rPr>
        <b/>
        <sz val="13"/>
        <color theme="1"/>
        <rFont val="Calibri"/>
        <family val="2"/>
        <scheme val="minor"/>
      </rPr>
      <t xml:space="preserve"> x SI</t>
    </r>
    <r>
      <rPr>
        <b/>
        <vertAlign val="subscript"/>
        <sz val="13"/>
        <color theme="1"/>
        <rFont val="Calibri"/>
        <family val="2"/>
        <scheme val="minor"/>
      </rPr>
      <t>i</t>
    </r>
  </si>
  <si>
    <r>
      <t>Sumatorio total V</t>
    </r>
    <r>
      <rPr>
        <b/>
        <vertAlign val="subscript"/>
        <sz val="12"/>
        <color theme="1"/>
        <rFont val="Calibri"/>
        <family val="2"/>
        <scheme val="minor"/>
      </rPr>
      <t>i</t>
    </r>
    <r>
      <rPr>
        <b/>
        <sz val="12"/>
        <color theme="1"/>
        <rFont val="Calibri"/>
        <family val="2"/>
        <scheme val="minor"/>
      </rPr>
      <t xml:space="preserve"> x SI</t>
    </r>
    <r>
      <rPr>
        <b/>
        <vertAlign val="subscript"/>
        <sz val="12"/>
        <color theme="1"/>
        <rFont val="Calibri"/>
        <family val="2"/>
        <scheme val="minor"/>
      </rPr>
      <t>i</t>
    </r>
  </si>
  <si>
    <r>
      <t>Sumatorio total V</t>
    </r>
    <r>
      <rPr>
        <b/>
        <vertAlign val="subscript"/>
        <sz val="12"/>
        <color theme="1"/>
        <rFont val="Calibri"/>
        <family val="2"/>
        <scheme val="minor"/>
      </rPr>
      <t>i</t>
    </r>
  </si>
  <si>
    <t>Coeficiente de forma SI</t>
  </si>
  <si>
    <t>Media</t>
  </si>
  <si>
    <t>Valor habitual SI árido</t>
  </si>
  <si>
    <t>De 10 (árido silíceo) a 23 (árido calizo)</t>
  </si>
  <si>
    <t>No limitación EHE-08</t>
  </si>
  <si>
    <t>Dentro de los valores habituales</t>
  </si>
  <si>
    <t>Cuarteo en 2</t>
  </si>
  <si>
    <t>Submuestra 1</t>
  </si>
  <si>
    <t>Submuestra 2</t>
  </si>
  <si>
    <t>Peso recipiente (g)</t>
  </si>
  <si>
    <t>Volumen recipiente (l)</t>
  </si>
  <si>
    <t>Peso recipiente +material (g)</t>
  </si>
  <si>
    <t>Densidad conjunto (g/l)</t>
  </si>
  <si>
    <t>Densidad conjunto (t/m3)</t>
  </si>
  <si>
    <t>Medidas adicionales</t>
  </si>
  <si>
    <t>Material mezcla de muestra 1 y 2</t>
  </si>
  <si>
    <t>Coeficiente de forma SI (%)</t>
  </si>
  <si>
    <r>
      <t>Peso picnómetro árido + agua M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(g)</t>
    </r>
  </si>
  <si>
    <r>
      <t>Peso picnómetro solo agua M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(g)</t>
    </r>
  </si>
  <si>
    <r>
      <t>Peso mat seco M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(g)</t>
    </r>
  </si>
  <si>
    <r>
      <t>Peso bandeja + mat seco</t>
    </r>
    <r>
      <rPr>
        <sz val="11"/>
        <color theme="1"/>
        <rFont val="Calibri"/>
        <family val="2"/>
        <scheme val="minor"/>
      </rPr>
      <t xml:space="preserve"> (g)</t>
    </r>
  </si>
  <si>
    <r>
      <t>Peso mat saturado M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(g)</t>
    </r>
  </si>
  <si>
    <r>
      <t xml:space="preserve">Densidad agua a 23 ºC </t>
    </r>
    <r>
      <rPr>
        <sz val="11"/>
        <color theme="1"/>
        <rFont val="Arial"/>
        <family val="2"/>
      </rPr>
      <t>ρ</t>
    </r>
    <r>
      <rPr>
        <vertAlign val="subscript"/>
        <sz val="11"/>
        <color theme="1"/>
        <rFont val="Calibri"/>
        <family val="2"/>
      </rPr>
      <t>w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(Tª laboratorio) (t/m3)</t>
    </r>
  </si>
  <si>
    <r>
      <t xml:space="preserve">Densidad aparente de las partículas </t>
    </r>
    <r>
      <rPr>
        <sz val="11"/>
        <color theme="1"/>
        <rFont val="Arial"/>
        <family val="2"/>
      </rPr>
      <t>ρ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(t/m3)</t>
    </r>
  </si>
  <si>
    <t>Peso bandeja + mat saturado (g)</t>
  </si>
  <si>
    <r>
      <t xml:space="preserve">Densidad de partículas secadas en estufa </t>
    </r>
    <r>
      <rPr>
        <sz val="11"/>
        <color theme="1"/>
        <rFont val="Arial"/>
        <family val="2"/>
      </rPr>
      <t>ρ</t>
    </r>
    <r>
      <rPr>
        <vertAlign val="subscript"/>
        <sz val="11"/>
        <color theme="1"/>
        <rFont val="Calibri"/>
        <family val="2"/>
      </rPr>
      <t>rd</t>
    </r>
    <r>
      <rPr>
        <sz val="11"/>
        <color theme="1"/>
        <rFont val="Calibri"/>
        <family val="2"/>
      </rPr>
      <t xml:space="preserve"> (t/m3)</t>
    </r>
  </si>
  <si>
    <r>
      <t xml:space="preserve">Densidad de partículas saturadas y secadas superficialmente </t>
    </r>
    <r>
      <rPr>
        <sz val="11"/>
        <color theme="1"/>
        <rFont val="Arial"/>
        <family val="2"/>
      </rPr>
      <t>ρ</t>
    </r>
    <r>
      <rPr>
        <vertAlign val="subscript"/>
        <sz val="11"/>
        <color theme="1"/>
        <rFont val="Calibri"/>
        <family val="2"/>
      </rPr>
      <t>ssd</t>
    </r>
    <r>
      <rPr>
        <sz val="11"/>
        <color theme="1"/>
        <rFont val="Calibri"/>
        <family val="2"/>
      </rPr>
      <t xml:space="preserve"> (t/m3)</t>
    </r>
  </si>
  <si>
    <t>CORRECTO</t>
  </si>
  <si>
    <t>Absorción en 24 horas (%)</t>
  </si>
  <si>
    <t>Menor que 7% (límite EHE-08 AR)</t>
  </si>
  <si>
    <t>Peso bandeja 1 (g)</t>
  </si>
  <si>
    <t>Peso bandeja 1 + mat seco (g)</t>
  </si>
  <si>
    <t>Peso bandeja 2 (g)</t>
  </si>
  <si>
    <t>Peso bandeja 2 + mat saturado (g)</t>
  </si>
  <si>
    <r>
      <t>Peso mat seco</t>
    </r>
    <r>
      <rPr>
        <sz val="11"/>
        <color theme="1"/>
        <rFont val="Calibri"/>
        <family val="2"/>
        <scheme val="minor"/>
      </rPr>
      <t xml:space="preserve"> (g)</t>
    </r>
  </si>
  <si>
    <r>
      <t>Peso mat saturado</t>
    </r>
    <r>
      <rPr>
        <sz val="11"/>
        <color theme="1"/>
        <rFont val="Calibri"/>
        <family val="2"/>
        <scheme val="minor"/>
      </rPr>
      <t xml:space="preserve"> (g)</t>
    </r>
  </si>
  <si>
    <t>Absorción en 10 minutos (%)</t>
  </si>
  <si>
    <r>
      <t xml:space="preserve">Cumple 5000 </t>
    </r>
    <r>
      <rPr>
        <sz val="11"/>
        <color theme="1"/>
        <rFont val="Symbol"/>
        <family val="1"/>
        <charset val="2"/>
      </rPr>
      <t xml:space="preserve">± </t>
    </r>
    <r>
      <rPr>
        <sz val="11"/>
        <color theme="1"/>
        <rFont val="Calibri"/>
        <family val="2"/>
      </rPr>
      <t>5 g</t>
    </r>
  </si>
  <si>
    <t>Peso bandeja 2 + mat seco retenido por 1,6mm (g)</t>
  </si>
  <si>
    <t>Coeficiente de desgaste LA</t>
  </si>
  <si>
    <t>Masa seca retenida por 1,6 mm (g)</t>
  </si>
  <si>
    <t>Coeficiente de desgaste LA aproximado</t>
  </si>
  <si>
    <t>&lt;40 limite EHE-08</t>
  </si>
  <si>
    <t>Cálculo humedad</t>
  </si>
  <si>
    <t>Peso bandeja + mat seco (g)</t>
  </si>
  <si>
    <t>Peso bandeja + mat húmedo (g)</t>
  </si>
  <si>
    <t>Humedad w (%)</t>
  </si>
  <si>
    <t>Peso mat seco (g)</t>
  </si>
  <si>
    <t>Peso mat húmedo (g)</t>
  </si>
  <si>
    <t>Densidad partículas secadas en estufa (t/m3)</t>
  </si>
  <si>
    <r>
      <t xml:space="preserve">Porcentaje de huecos </t>
    </r>
    <r>
      <rPr>
        <b/>
        <sz val="12"/>
        <color theme="1"/>
        <rFont val="Calibri"/>
        <family val="2"/>
      </rPr>
      <t xml:space="preserve">ν </t>
    </r>
    <r>
      <rPr>
        <b/>
        <sz val="12"/>
        <color theme="1"/>
        <rFont val="Calibri"/>
        <family val="2"/>
        <scheme val="minor"/>
      </rPr>
      <t>(%)</t>
    </r>
  </si>
  <si>
    <t>&gt;2% Se deja en el laboratorio hasta que alcanza una humedad del 1%</t>
  </si>
  <si>
    <t>Cálculo contenido finos</t>
  </si>
  <si>
    <t>Peso bandeja + mat húmedo con pasa 0,063 mm (g)</t>
  </si>
  <si>
    <t>Peso bandeja + mat seco sin pasa 0,063 mm (g)</t>
  </si>
  <si>
    <r>
      <t>Peso mat húmedo con pasa 0,063mm M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(g)</t>
    </r>
  </si>
  <si>
    <r>
      <t>Peso mat seco sin pasa 0,063mm M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(g)</t>
    </r>
  </si>
  <si>
    <t>Contenido de finos f (%)</t>
  </si>
  <si>
    <t>&lt;10% No se necesita árido de compensación</t>
  </si>
  <si>
    <t>Cálculo masa ensayo</t>
  </si>
  <si>
    <t>Humedad del árido en el momento de ensayo (%)</t>
  </si>
  <si>
    <t>Probeta 1: h1 (mm)</t>
  </si>
  <si>
    <t>Probeta 1: h2 (mm)</t>
  </si>
  <si>
    <t>Equivalente de Arena Muestra 1</t>
  </si>
  <si>
    <t>Probeta 1: Equivalente de Arena SE</t>
  </si>
  <si>
    <t>Probeta 2: h1 (mm)</t>
  </si>
  <si>
    <t>Probeta 2: h2 (mm)</t>
  </si>
  <si>
    <t>Probeta 2: Equivalente de Arena SE</t>
  </si>
  <si>
    <t>Muestra 1: Equivalente de Arena SE</t>
  </si>
  <si>
    <t>Equivalente de Arena Muestra 2</t>
  </si>
  <si>
    <t>SE de probeta 1 y Probeta 2 difieren menos de 4: Ensayo VÁLIDO</t>
  </si>
  <si>
    <t>Equivalente de Arena Media aritmética</t>
  </si>
  <si>
    <t>Muestra 2: Equivalente de Arena SE</t>
  </si>
  <si>
    <t>Media aritmética: Equivalente de Arena SE</t>
  </si>
  <si>
    <t>&gt;70 y &lt;75 Válido para hormigones de ambientes I y II</t>
  </si>
  <si>
    <t>Sin embargo, EHE-08 se refire a la fracción 0-4mm</t>
  </si>
  <si>
    <t>Media aritmética: Equivalente de Arena SE APROXIMADO</t>
  </si>
  <si>
    <t>Mismas condiciones que fracción 0-2mm</t>
  </si>
  <si>
    <t>Mismas condiciones que fracción 0-2mm: 121,2 g</t>
  </si>
  <si>
    <t>&gt;75 Válido para hormigones de cualquier ambiente</t>
  </si>
  <si>
    <t>Masa de ensayo</t>
  </si>
  <si>
    <t>Peso mat seco 1 (g)</t>
  </si>
  <si>
    <t>Peso bandeja 2 + mat seco (g)</t>
  </si>
  <si>
    <t>Peso mat seco 2 (g)</t>
  </si>
  <si>
    <t>Porcentaje arcilla (&lt;0,063 mm)</t>
  </si>
  <si>
    <t>Porcentaje arena (&gt;0,063 mm y &lt;4 mm)</t>
  </si>
  <si>
    <r>
      <t>Peso masa ensayo M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(g)</t>
    </r>
  </si>
  <si>
    <t>Porcentaje árido grueso (&gt;4 mm)</t>
  </si>
  <si>
    <r>
      <t>Peso árido grueso &gt;4 mm M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(g)</t>
    </r>
  </si>
  <si>
    <r>
      <t>Porcentaje árido grueso respecto masa ensayo M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/M</t>
    </r>
    <r>
      <rPr>
        <vertAlign val="subscript"/>
        <sz val="11"/>
        <color theme="1"/>
        <rFont val="Calibri"/>
        <family val="2"/>
        <scheme val="minor"/>
      </rPr>
      <t xml:space="preserve">0 </t>
    </r>
    <r>
      <rPr>
        <sz val="11"/>
        <color theme="1"/>
        <rFont val="Calibri"/>
        <family val="2"/>
        <scheme val="minor"/>
      </rPr>
      <t>(%)</t>
    </r>
  </si>
  <si>
    <t>Peso arena (&gt;0,063 mm y &lt;4 mm) (g)</t>
  </si>
  <si>
    <r>
      <t>Porcentaje arena respecto masa ensayo M</t>
    </r>
    <r>
      <rPr>
        <vertAlign val="subscript"/>
        <sz val="11"/>
        <color theme="1"/>
        <rFont val="Calibri"/>
        <family val="2"/>
        <scheme val="minor"/>
      </rPr>
      <t>arena</t>
    </r>
    <r>
      <rPr>
        <sz val="11"/>
        <color theme="1"/>
        <rFont val="Calibri"/>
        <family val="2"/>
        <scheme val="minor"/>
      </rPr>
      <t>/M</t>
    </r>
    <r>
      <rPr>
        <vertAlign val="subscript"/>
        <sz val="11"/>
        <color theme="1"/>
        <rFont val="Calibri"/>
        <family val="2"/>
        <scheme val="minor"/>
      </rPr>
      <t xml:space="preserve">0 </t>
    </r>
    <r>
      <rPr>
        <sz val="11"/>
        <color theme="1"/>
        <rFont val="Calibri"/>
        <family val="2"/>
        <scheme val="minor"/>
      </rPr>
      <t>(%)</t>
    </r>
  </si>
  <si>
    <r>
      <t>Porcentaje arena respecto árido grueso M</t>
    </r>
    <r>
      <rPr>
        <vertAlign val="subscript"/>
        <sz val="11"/>
        <color theme="1"/>
        <rFont val="Calibri"/>
        <family val="2"/>
        <scheme val="minor"/>
      </rPr>
      <t>arena</t>
    </r>
    <r>
      <rPr>
        <sz val="11"/>
        <color theme="1"/>
        <rFont val="Calibri"/>
        <family val="2"/>
        <scheme val="minor"/>
      </rPr>
      <t>/M</t>
    </r>
    <r>
      <rPr>
        <vertAlign val="subscript"/>
        <sz val="11"/>
        <color theme="1"/>
        <rFont val="Calibri"/>
        <family val="2"/>
        <scheme val="minor"/>
      </rPr>
      <t xml:space="preserve">1 </t>
    </r>
    <r>
      <rPr>
        <sz val="11"/>
        <color theme="1"/>
        <rFont val="Calibri"/>
        <family val="2"/>
        <scheme val="minor"/>
      </rPr>
      <t>(%)</t>
    </r>
  </si>
  <si>
    <r>
      <t>Porcentaje arcilla respecto masa ensayo M</t>
    </r>
    <r>
      <rPr>
        <vertAlign val="subscript"/>
        <sz val="11"/>
        <color theme="1"/>
        <rFont val="Calibri"/>
        <family val="2"/>
        <scheme val="minor"/>
      </rPr>
      <t>arena</t>
    </r>
    <r>
      <rPr>
        <sz val="11"/>
        <color theme="1"/>
        <rFont val="Calibri"/>
        <family val="2"/>
        <scheme val="minor"/>
      </rPr>
      <t>/M</t>
    </r>
    <r>
      <rPr>
        <vertAlign val="subscript"/>
        <sz val="11"/>
        <color theme="1"/>
        <rFont val="Calibri"/>
        <family val="2"/>
        <scheme val="minor"/>
      </rPr>
      <t xml:space="preserve">0 </t>
    </r>
    <r>
      <rPr>
        <sz val="11"/>
        <color theme="1"/>
        <rFont val="Calibri"/>
        <family val="2"/>
        <scheme val="minor"/>
      </rPr>
      <t>(%)</t>
    </r>
  </si>
  <si>
    <r>
      <t>Porcentaje arcilla respecto árido grueso M</t>
    </r>
    <r>
      <rPr>
        <vertAlign val="subscript"/>
        <sz val="11"/>
        <color theme="1"/>
        <rFont val="Calibri"/>
        <family val="2"/>
        <scheme val="minor"/>
      </rPr>
      <t>arcilla</t>
    </r>
    <r>
      <rPr>
        <sz val="11"/>
        <color theme="1"/>
        <rFont val="Calibri"/>
        <family val="2"/>
        <scheme val="minor"/>
      </rPr>
      <t>/M</t>
    </r>
    <r>
      <rPr>
        <vertAlign val="subscript"/>
        <sz val="11"/>
        <color theme="1"/>
        <rFont val="Calibri"/>
        <family val="2"/>
        <scheme val="minor"/>
      </rPr>
      <t xml:space="preserve">1 </t>
    </r>
    <r>
      <rPr>
        <sz val="11"/>
        <color theme="1"/>
        <rFont val="Calibri"/>
        <family val="2"/>
        <scheme val="minor"/>
      </rPr>
      <t>(%)</t>
    </r>
  </si>
  <si>
    <t>Conservación masa (g)</t>
  </si>
  <si>
    <t>Porcentaje arena-arcilla (&lt;4 mm)</t>
  </si>
  <si>
    <t>Peso arcilla (&lt;0,063 mm) (g)</t>
  </si>
  <si>
    <t>Partículas flotantes</t>
  </si>
  <si>
    <t>Volumen inicial de agua 1 (ml)</t>
  </si>
  <si>
    <t>Volumen agua + partículas flotantes 1 (ml)</t>
  </si>
  <si>
    <t>Volumen partículas flotantes 1 (ml)</t>
  </si>
  <si>
    <t>Volumen inicial de agua 2 (ml)</t>
  </si>
  <si>
    <t>Volumen agua + partículas flotantes 2 (ml)</t>
  </si>
  <si>
    <t>Volumen partículas flotantes 2 (ml)</t>
  </si>
  <si>
    <t>Volumen partículas flotantes medio (ml)</t>
  </si>
  <si>
    <t>Contenido partículas flotantes FL (cm3/kg)</t>
  </si>
  <si>
    <t>Porcentaje árido grueso (&gt;63 mm)</t>
  </si>
  <si>
    <r>
      <t>Peso árido grueso &gt;63 mm M</t>
    </r>
    <r>
      <rPr>
        <vertAlign val="subscript"/>
        <sz val="11"/>
        <color theme="1"/>
        <rFont val="Calibri"/>
        <family val="2"/>
        <scheme val="minor"/>
      </rPr>
      <t>63</t>
    </r>
    <r>
      <rPr>
        <sz val="11"/>
        <color theme="1"/>
        <rFont val="Calibri"/>
        <family val="2"/>
        <scheme val="minor"/>
      </rPr>
      <t xml:space="preserve"> (g)</t>
    </r>
  </si>
  <si>
    <r>
      <t>Porcentaje árido grueso (&gt;63 mm) respecto masa ensayo M</t>
    </r>
    <r>
      <rPr>
        <vertAlign val="subscript"/>
        <sz val="11"/>
        <color theme="1"/>
        <rFont val="Calibri"/>
        <family val="2"/>
        <scheme val="minor"/>
      </rPr>
      <t>&gt;63mm</t>
    </r>
    <r>
      <rPr>
        <sz val="11"/>
        <color theme="1"/>
        <rFont val="Calibri"/>
        <family val="2"/>
        <scheme val="minor"/>
      </rPr>
      <t>/M</t>
    </r>
    <r>
      <rPr>
        <vertAlign val="subscript"/>
        <sz val="11"/>
        <color theme="1"/>
        <rFont val="Calibri"/>
        <family val="2"/>
        <scheme val="minor"/>
      </rPr>
      <t xml:space="preserve">0 </t>
    </r>
    <r>
      <rPr>
        <sz val="11"/>
        <color theme="1"/>
        <rFont val="Calibri"/>
        <family val="2"/>
        <scheme val="minor"/>
      </rPr>
      <t>(%)</t>
    </r>
  </si>
  <si>
    <r>
      <t>Peso arena + arcilla (&lt;4 mm) M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(g)</t>
    </r>
  </si>
  <si>
    <r>
      <t>Porcentaje arena-arcilla respecto masa ensayo M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/M</t>
    </r>
    <r>
      <rPr>
        <vertAlign val="subscript"/>
        <sz val="11"/>
        <color theme="1"/>
        <rFont val="Calibri"/>
        <family val="2"/>
        <scheme val="minor"/>
      </rPr>
      <t xml:space="preserve">0 </t>
    </r>
    <r>
      <rPr>
        <sz val="11"/>
        <color theme="1"/>
        <rFont val="Calibri"/>
        <family val="2"/>
        <scheme val="minor"/>
      </rPr>
      <t>(%)</t>
    </r>
  </si>
  <si>
    <r>
      <t>Porcentaje arena-arcilla respecto árido grueso M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/M</t>
    </r>
    <r>
      <rPr>
        <vertAlign val="subscript"/>
        <sz val="11"/>
        <color theme="1"/>
        <rFont val="Calibri"/>
        <family val="2"/>
        <scheme val="minor"/>
      </rPr>
      <t xml:space="preserve">1 </t>
    </r>
    <r>
      <rPr>
        <sz val="11"/>
        <color theme="1"/>
        <rFont val="Calibri"/>
        <family val="2"/>
        <scheme val="minor"/>
      </rPr>
      <t>(%)</t>
    </r>
  </si>
  <si>
    <t>Plásticos, yesos, metales y maderas (X)</t>
  </si>
  <si>
    <t>Peso plásticos + yesos + metales + maderas (g)</t>
  </si>
  <si>
    <r>
      <t>Peso arenas + arcillas + plásticos + yesos + metales + maderas M</t>
    </r>
    <r>
      <rPr>
        <vertAlign val="subscript"/>
        <sz val="11"/>
        <color theme="1"/>
        <rFont val="Calibri"/>
        <family val="2"/>
        <scheme val="minor"/>
      </rPr>
      <t>x</t>
    </r>
    <r>
      <rPr>
        <sz val="11"/>
        <color theme="1"/>
        <rFont val="Calibri"/>
        <family val="2"/>
        <scheme val="minor"/>
      </rPr>
      <t xml:space="preserve"> (g)</t>
    </r>
  </si>
  <si>
    <t>Porcentaje arenas + arcillas+ X (%)</t>
  </si>
  <si>
    <t>Componentes (Rc, Ru, Rb, Ra y Rg)</t>
  </si>
  <si>
    <t>Masa hormigón Rc (g)</t>
  </si>
  <si>
    <t>Masa albañilería Rb (g)</t>
  </si>
  <si>
    <t>Masa materiales bituminosos (g)</t>
  </si>
  <si>
    <t>Masa vidrio (g)</t>
  </si>
  <si>
    <t>Porcentaje homigón (%)</t>
  </si>
  <si>
    <t>Porcentaje albañilería (%)</t>
  </si>
  <si>
    <t>Porcentaje materiales bituminosos (%)</t>
  </si>
  <si>
    <t>Porcentaje vidrio (%)</t>
  </si>
  <si>
    <r>
      <t>Masa analizada tras cuarteo M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(g)</t>
    </r>
  </si>
  <si>
    <r>
      <t>Masa particulas no flotantes restantes M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(g)</t>
    </r>
  </si>
  <si>
    <r>
      <t>Mismo que M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pues flotantes despreciables</t>
    </r>
  </si>
  <si>
    <t>Fondo (&lt; 4 mm)</t>
  </si>
  <si>
    <r>
      <t>Masa finalmente analizada M</t>
    </r>
    <r>
      <rPr>
        <b/>
        <vertAlign val="subscript"/>
        <sz val="13"/>
        <color theme="1"/>
        <rFont val="Calibri"/>
        <family val="2"/>
        <scheme val="minor"/>
      </rPr>
      <t>1i</t>
    </r>
    <r>
      <rPr>
        <b/>
        <sz val="13"/>
        <color theme="1"/>
        <rFont val="Calibri"/>
        <family val="2"/>
        <scheme val="minor"/>
      </rPr>
      <t xml:space="preserve"> (g)</t>
    </r>
  </si>
  <si>
    <r>
      <t>Masa partículas trituradas M</t>
    </r>
    <r>
      <rPr>
        <b/>
        <vertAlign val="subscript"/>
        <sz val="13"/>
        <color theme="1"/>
        <rFont val="Calibri"/>
        <family val="2"/>
        <scheme val="minor"/>
      </rPr>
      <t>ci</t>
    </r>
    <r>
      <rPr>
        <b/>
        <sz val="13"/>
        <color theme="1"/>
        <rFont val="Calibri"/>
        <family val="2"/>
        <scheme val="minor"/>
      </rPr>
      <t>(g)</t>
    </r>
  </si>
  <si>
    <r>
      <t>Masa partículas redondeadas M</t>
    </r>
    <r>
      <rPr>
        <b/>
        <vertAlign val="subscript"/>
        <sz val="13"/>
        <color theme="1"/>
        <rFont val="Calibri"/>
        <family val="2"/>
        <scheme val="minor"/>
      </rPr>
      <t>ri</t>
    </r>
    <r>
      <rPr>
        <b/>
        <sz val="13"/>
        <color theme="1"/>
        <rFont val="Calibri"/>
        <family val="2"/>
        <scheme val="minor"/>
      </rPr>
      <t xml:space="preserve"> (g)</t>
    </r>
  </si>
  <si>
    <r>
      <t>Masa partículas totalmente trituradas M</t>
    </r>
    <r>
      <rPr>
        <b/>
        <vertAlign val="subscript"/>
        <sz val="13"/>
        <color theme="1"/>
        <rFont val="Calibri"/>
        <family val="2"/>
        <scheme val="minor"/>
      </rPr>
      <t>tci</t>
    </r>
    <r>
      <rPr>
        <b/>
        <sz val="13"/>
        <color theme="1"/>
        <rFont val="Calibri"/>
        <family val="2"/>
        <scheme val="minor"/>
      </rPr>
      <t xml:space="preserve"> (g)</t>
    </r>
  </si>
  <si>
    <r>
      <t>Masa partículas totalmlente redondeadas M</t>
    </r>
    <r>
      <rPr>
        <b/>
        <vertAlign val="subscript"/>
        <sz val="13"/>
        <color theme="1"/>
        <rFont val="Calibri"/>
        <family val="2"/>
        <scheme val="minor"/>
      </rPr>
      <t>tri</t>
    </r>
    <r>
      <rPr>
        <b/>
        <sz val="13"/>
        <color theme="1"/>
        <rFont val="Calibri"/>
        <family val="2"/>
        <scheme val="minor"/>
      </rPr>
      <t xml:space="preserve"> (g)</t>
    </r>
  </si>
  <si>
    <r>
      <t>Porcentaje partículas trituradas C</t>
    </r>
    <r>
      <rPr>
        <b/>
        <vertAlign val="subscript"/>
        <sz val="13"/>
        <color theme="1"/>
        <rFont val="Calibri"/>
        <family val="2"/>
        <scheme val="minor"/>
      </rPr>
      <t>ci</t>
    </r>
    <r>
      <rPr>
        <b/>
        <sz val="13"/>
        <color theme="1"/>
        <rFont val="Calibri"/>
        <family val="2"/>
        <scheme val="minor"/>
      </rPr>
      <t xml:space="preserve"> (%)</t>
    </r>
  </si>
  <si>
    <r>
      <t>Porcentaje partículas redondeadas C</t>
    </r>
    <r>
      <rPr>
        <b/>
        <vertAlign val="subscript"/>
        <sz val="13"/>
        <color theme="1"/>
        <rFont val="Calibri"/>
        <family val="2"/>
        <scheme val="minor"/>
      </rPr>
      <t xml:space="preserve">ri </t>
    </r>
    <r>
      <rPr>
        <b/>
        <sz val="13"/>
        <color theme="1"/>
        <rFont val="Calibri"/>
        <family val="2"/>
        <scheme val="minor"/>
      </rPr>
      <t>(%)</t>
    </r>
  </si>
  <si>
    <r>
      <t>Porcentaje partículas totalmente trituradas C</t>
    </r>
    <r>
      <rPr>
        <b/>
        <vertAlign val="subscript"/>
        <sz val="13"/>
        <color theme="1"/>
        <rFont val="Calibri"/>
        <family val="2"/>
        <scheme val="minor"/>
      </rPr>
      <t>tci</t>
    </r>
    <r>
      <rPr>
        <b/>
        <sz val="13"/>
        <color theme="1"/>
        <rFont val="Calibri"/>
        <family val="2"/>
        <scheme val="minor"/>
      </rPr>
      <t xml:space="preserve"> (g)</t>
    </r>
  </si>
  <si>
    <r>
      <t>Porcentaje partículas totalmente redondeadas C</t>
    </r>
    <r>
      <rPr>
        <b/>
        <vertAlign val="subscript"/>
        <sz val="13"/>
        <color theme="1"/>
        <rFont val="Calibri"/>
        <family val="2"/>
        <scheme val="minor"/>
      </rPr>
      <t>tri</t>
    </r>
    <r>
      <rPr>
        <b/>
        <sz val="13"/>
        <color theme="1"/>
        <rFont val="Calibri"/>
        <family val="2"/>
        <scheme val="minor"/>
      </rPr>
      <t xml:space="preserve"> (%)</t>
    </r>
  </si>
  <si>
    <r>
      <t xml:space="preserve"> V</t>
    </r>
    <r>
      <rPr>
        <b/>
        <vertAlign val="subscript"/>
        <sz val="13"/>
        <color theme="1"/>
        <rFont val="Calibri"/>
        <family val="2"/>
        <scheme val="minor"/>
      </rPr>
      <t>i</t>
    </r>
    <r>
      <rPr>
        <b/>
        <sz val="13"/>
        <color theme="1"/>
        <rFont val="Calibri"/>
        <family val="2"/>
        <scheme val="minor"/>
      </rPr>
      <t xml:space="preserve"> x C</t>
    </r>
    <r>
      <rPr>
        <b/>
        <vertAlign val="subscript"/>
        <sz val="13"/>
        <color theme="1"/>
        <rFont val="Calibri"/>
        <family val="2"/>
        <scheme val="minor"/>
      </rPr>
      <t>ci</t>
    </r>
  </si>
  <si>
    <r>
      <t xml:space="preserve"> V</t>
    </r>
    <r>
      <rPr>
        <b/>
        <vertAlign val="subscript"/>
        <sz val="13"/>
        <color theme="1"/>
        <rFont val="Calibri"/>
        <family val="2"/>
        <scheme val="minor"/>
      </rPr>
      <t>i</t>
    </r>
    <r>
      <rPr>
        <b/>
        <sz val="13"/>
        <color theme="1"/>
        <rFont val="Calibri"/>
        <family val="2"/>
        <scheme val="minor"/>
      </rPr>
      <t xml:space="preserve"> x C</t>
    </r>
    <r>
      <rPr>
        <b/>
        <vertAlign val="subscript"/>
        <sz val="13"/>
        <color theme="1"/>
        <rFont val="Calibri"/>
        <family val="2"/>
        <scheme val="minor"/>
      </rPr>
      <t>ri</t>
    </r>
  </si>
  <si>
    <r>
      <t xml:space="preserve"> V</t>
    </r>
    <r>
      <rPr>
        <b/>
        <vertAlign val="subscript"/>
        <sz val="13"/>
        <color theme="1"/>
        <rFont val="Calibri"/>
        <family val="2"/>
        <scheme val="minor"/>
      </rPr>
      <t>i</t>
    </r>
    <r>
      <rPr>
        <b/>
        <sz val="13"/>
        <color theme="1"/>
        <rFont val="Calibri"/>
        <family val="2"/>
        <scheme val="minor"/>
      </rPr>
      <t xml:space="preserve"> x C</t>
    </r>
    <r>
      <rPr>
        <b/>
        <vertAlign val="subscript"/>
        <sz val="13"/>
        <color theme="1"/>
        <rFont val="Calibri"/>
        <family val="2"/>
        <scheme val="minor"/>
      </rPr>
      <t>tci</t>
    </r>
  </si>
  <si>
    <r>
      <t xml:space="preserve"> V</t>
    </r>
    <r>
      <rPr>
        <b/>
        <vertAlign val="subscript"/>
        <sz val="13"/>
        <color theme="1"/>
        <rFont val="Calibri"/>
        <family val="2"/>
        <scheme val="minor"/>
      </rPr>
      <t>i</t>
    </r>
    <r>
      <rPr>
        <b/>
        <sz val="13"/>
        <color theme="1"/>
        <rFont val="Calibri"/>
        <family val="2"/>
        <scheme val="minor"/>
      </rPr>
      <t xml:space="preserve"> x C</t>
    </r>
    <r>
      <rPr>
        <b/>
        <vertAlign val="subscript"/>
        <sz val="13"/>
        <color theme="1"/>
        <rFont val="Calibri"/>
        <family val="2"/>
        <scheme val="minor"/>
      </rPr>
      <t>tri</t>
    </r>
  </si>
  <si>
    <r>
      <t>Sumatorio total V</t>
    </r>
    <r>
      <rPr>
        <b/>
        <vertAlign val="subscript"/>
        <sz val="12"/>
        <color theme="1"/>
        <rFont val="Calibri"/>
        <family val="2"/>
        <scheme val="minor"/>
      </rPr>
      <t>i</t>
    </r>
    <r>
      <rPr>
        <b/>
        <sz val="12"/>
        <color theme="1"/>
        <rFont val="Calibri"/>
        <family val="2"/>
        <scheme val="minor"/>
      </rPr>
      <t xml:space="preserve"> x C</t>
    </r>
    <r>
      <rPr>
        <b/>
        <vertAlign val="subscript"/>
        <sz val="12"/>
        <color theme="1"/>
        <rFont val="Calibri"/>
        <family val="2"/>
        <scheme val="minor"/>
      </rPr>
      <t>ci</t>
    </r>
  </si>
  <si>
    <r>
      <t>Porcentaje global partículas trituradas C</t>
    </r>
    <r>
      <rPr>
        <b/>
        <vertAlign val="subscript"/>
        <sz val="12"/>
        <color theme="1"/>
        <rFont val="Calibri"/>
        <family val="2"/>
        <scheme val="minor"/>
      </rPr>
      <t>ci</t>
    </r>
    <r>
      <rPr>
        <b/>
        <sz val="12"/>
        <color theme="1"/>
        <rFont val="Calibri"/>
        <family val="2"/>
        <scheme val="minor"/>
      </rPr>
      <t xml:space="preserve"> (%) </t>
    </r>
  </si>
  <si>
    <r>
      <t>Sumatorio total V</t>
    </r>
    <r>
      <rPr>
        <b/>
        <vertAlign val="subscript"/>
        <sz val="12"/>
        <color theme="1"/>
        <rFont val="Calibri"/>
        <family val="2"/>
        <scheme val="minor"/>
      </rPr>
      <t>i</t>
    </r>
    <r>
      <rPr>
        <b/>
        <sz val="12"/>
        <color theme="1"/>
        <rFont val="Calibri"/>
        <family val="2"/>
        <scheme val="minor"/>
      </rPr>
      <t xml:space="preserve"> x C</t>
    </r>
    <r>
      <rPr>
        <b/>
        <vertAlign val="subscript"/>
        <sz val="12"/>
        <color theme="1"/>
        <rFont val="Calibri"/>
        <family val="2"/>
        <scheme val="minor"/>
      </rPr>
      <t>ri</t>
    </r>
  </si>
  <si>
    <r>
      <t>Sumatorio total V</t>
    </r>
    <r>
      <rPr>
        <b/>
        <vertAlign val="subscript"/>
        <sz val="12"/>
        <color theme="1"/>
        <rFont val="Calibri"/>
        <family val="2"/>
        <scheme val="minor"/>
      </rPr>
      <t>i</t>
    </r>
    <r>
      <rPr>
        <b/>
        <sz val="12"/>
        <color theme="1"/>
        <rFont val="Calibri"/>
        <family val="2"/>
        <scheme val="minor"/>
      </rPr>
      <t xml:space="preserve"> x C</t>
    </r>
    <r>
      <rPr>
        <b/>
        <vertAlign val="subscript"/>
        <sz val="12"/>
        <color theme="1"/>
        <rFont val="Calibri"/>
        <family val="2"/>
        <scheme val="minor"/>
      </rPr>
      <t>tri</t>
    </r>
  </si>
  <si>
    <r>
      <t>Sumatorio total V</t>
    </r>
    <r>
      <rPr>
        <b/>
        <vertAlign val="subscript"/>
        <sz val="12"/>
        <color theme="1"/>
        <rFont val="Calibri"/>
        <family val="2"/>
        <scheme val="minor"/>
      </rPr>
      <t>i</t>
    </r>
    <r>
      <rPr>
        <b/>
        <sz val="12"/>
        <color theme="1"/>
        <rFont val="Calibri"/>
        <family val="2"/>
        <scheme val="minor"/>
      </rPr>
      <t xml:space="preserve"> x C</t>
    </r>
    <r>
      <rPr>
        <b/>
        <vertAlign val="subscript"/>
        <sz val="12"/>
        <color theme="1"/>
        <rFont val="Calibri"/>
        <family val="2"/>
        <scheme val="minor"/>
      </rPr>
      <t>tci</t>
    </r>
  </si>
  <si>
    <r>
      <t>Porcentaje global partículas totalmente trituradas C</t>
    </r>
    <r>
      <rPr>
        <b/>
        <vertAlign val="subscript"/>
        <sz val="12"/>
        <color theme="1"/>
        <rFont val="Calibri"/>
        <family val="2"/>
        <scheme val="minor"/>
      </rPr>
      <t>tci</t>
    </r>
    <r>
      <rPr>
        <b/>
        <sz val="12"/>
        <color theme="1"/>
        <rFont val="Calibri"/>
        <family val="2"/>
        <scheme val="minor"/>
      </rPr>
      <t xml:space="preserve"> (%) </t>
    </r>
  </si>
  <si>
    <r>
      <t>Porcentaje global partículas redondeadas C</t>
    </r>
    <r>
      <rPr>
        <b/>
        <vertAlign val="subscript"/>
        <sz val="12"/>
        <color theme="1"/>
        <rFont val="Calibri"/>
        <family val="2"/>
        <scheme val="minor"/>
      </rPr>
      <t>ri</t>
    </r>
    <r>
      <rPr>
        <b/>
        <sz val="12"/>
        <color theme="1"/>
        <rFont val="Calibri"/>
        <family val="2"/>
        <scheme val="minor"/>
      </rPr>
      <t xml:space="preserve"> (%) </t>
    </r>
  </si>
  <si>
    <r>
      <t>Porcentaje global partículas totalmente redondeadas C</t>
    </r>
    <r>
      <rPr>
        <b/>
        <vertAlign val="subscript"/>
        <sz val="12"/>
        <color theme="1"/>
        <rFont val="Calibri"/>
        <family val="2"/>
        <scheme val="minor"/>
      </rPr>
      <t>tri</t>
    </r>
    <r>
      <rPr>
        <b/>
        <sz val="12"/>
        <color theme="1"/>
        <rFont val="Calibri"/>
        <family val="2"/>
        <scheme val="minor"/>
      </rPr>
      <t xml:space="preserve"> (%) </t>
    </r>
  </si>
  <si>
    <t>Humedad árido almacenado interior</t>
  </si>
  <si>
    <t>Humedad (%)</t>
  </si>
  <si>
    <t>Peso mat seco (g) (g)</t>
  </si>
  <si>
    <t>Humedad árido intemperie (otoño-primavera)</t>
  </si>
  <si>
    <t>0/4 - T- R</t>
  </si>
  <si>
    <t>Límite EHE-08 AF para hormigones con ambientes exigentes (III, IV): 6 %</t>
  </si>
  <si>
    <t>CUMPLIMIENTO EHE-08</t>
  </si>
  <si>
    <t>EHE-08</t>
  </si>
  <si>
    <t>Valor más estricto (ambientes III, IV)</t>
  </si>
  <si>
    <t>Pasa acumulado</t>
  </si>
  <si>
    <t>Cumple especificaciones (EHE-08)</t>
  </si>
  <si>
    <t>NO NECESITA AJUSTE</t>
  </si>
  <si>
    <t>Tiene buen ajuste a FULLER</t>
  </si>
  <si>
    <t>Masa áridos Ru (g) (&lt;50% mortero)</t>
  </si>
  <si>
    <t>Masa áridos Ru (g) (0% mortero)</t>
  </si>
  <si>
    <t>Porcentaje áridos (%) (&lt;50% mortero)</t>
  </si>
  <si>
    <t>Porcentaje áridos (%) (0% mortero)</t>
  </si>
  <si>
    <t>ÍNDICE DE LAJAS IL (%)</t>
  </si>
  <si>
    <t>AF - 0/4 - T - R</t>
  </si>
  <si>
    <t>Coficiente de friabilidad</t>
  </si>
  <si>
    <t>Mat retenido (g)</t>
  </si>
  <si>
    <t>Valor del sulfato de magnesio</t>
  </si>
  <si>
    <r>
      <t>Mat inicio ensayo M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(g)</t>
    </r>
  </si>
  <si>
    <r>
      <t>Mat final ensayo M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(g)</t>
    </r>
  </si>
  <si>
    <t>Valor del ensayo de hielo y deshielo</t>
  </si>
  <si>
    <t xml:space="preserve">Poco mayor 7% (límite EHE-08 AR) </t>
  </si>
  <si>
    <t>35 partículas</t>
  </si>
  <si>
    <r>
      <t>pi·d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/6 (según galga)</t>
    </r>
  </si>
  <si>
    <r>
      <t>SUMA pi·d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/6</t>
    </r>
  </si>
  <si>
    <r>
      <t>Volumen inicial (cm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</si>
  <si>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Volumen partículas (cm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</si>
  <si>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t>Coeficiente de forma</t>
  </si>
  <si>
    <t>39 partículas</t>
  </si>
  <si>
    <t>Mortero adherido (%)</t>
  </si>
  <si>
    <t>Peso bandeja 2 + mortero seco (g)</t>
  </si>
  <si>
    <t>Peso bandeja 2 + no mortero seco (g)</t>
  </si>
  <si>
    <t>Peso mortero seco (g)</t>
  </si>
  <si>
    <t>Peso no mortero seco (g)</t>
  </si>
  <si>
    <t>Mortero adherido 8-12,5 mm (%)</t>
  </si>
  <si>
    <t>TERRONES DE ARCILLA</t>
  </si>
  <si>
    <t>No se observa la presencia de terrones de arcilla, por lo que el contenido en estos es 0%</t>
  </si>
  <si>
    <t>PARTÍCULAS BLANDAS</t>
  </si>
  <si>
    <t>Ninguna partícula puede considerarse blanda tras e impacto con el esclerómetro (0%)</t>
  </si>
  <si>
    <t>PARTÍCULAS DE BAJO PESO ESPECÍFICO</t>
  </si>
  <si>
    <t>El porcentaje obtenido es el mismo que el obtenid en el ensayo de componentes de árido reciclado</t>
  </si>
  <si>
    <t>(0,04 cm3/kg)</t>
  </si>
  <si>
    <t>Mat 8-16mm + bandeja (g)</t>
  </si>
  <si>
    <t>Mat tras ensayo tamaño 8-16mm (g)</t>
  </si>
  <si>
    <t>% material fracturado a &lt;8mm</t>
  </si>
  <si>
    <t>&lt;18% (cumple EHE-08)</t>
  </si>
  <si>
    <t>1ª determinación</t>
  </si>
  <si>
    <t>Peso cilindro (g)</t>
  </si>
  <si>
    <t>Método 1</t>
  </si>
  <si>
    <t>Peso cilindro + escoria (g)</t>
  </si>
  <si>
    <t>Angularity number</t>
  </si>
  <si>
    <t>Peso cilindro+escoria+agua (g)</t>
  </si>
  <si>
    <t>Método 2</t>
  </si>
  <si>
    <t>Peso cilindro + agua (g)</t>
  </si>
  <si>
    <t>W (g)</t>
  </si>
  <si>
    <t>Angularity number medio</t>
  </si>
  <si>
    <r>
      <t>C (cm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</si>
  <si>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G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(g/cm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</si>
  <si>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t>2ª determinación</t>
  </si>
  <si>
    <t>3ª determinación</t>
  </si>
  <si>
    <t>Angularity number ÁRIDO RECICLADO</t>
  </si>
  <si>
    <t>Azul metileno 0/2 mm</t>
  </si>
  <si>
    <t>Peso material (g)</t>
  </si>
  <si>
    <t>Peso material corrección w (g)</t>
  </si>
  <si>
    <t>Azul de metileno empleado (ml)</t>
  </si>
  <si>
    <t>Azul de metileno</t>
  </si>
  <si>
    <t>Azul metileno 0/0.125 mm</t>
  </si>
  <si>
    <t>Azul de metileno MEDIA</t>
  </si>
  <si>
    <t>COMPROBACIÓN EHE-08</t>
  </si>
  <si>
    <t>Masa finos &lt;0.063 mm (g)</t>
  </si>
  <si>
    <t>Masa fracción 0/2 mm (g)</t>
  </si>
  <si>
    <t>f</t>
  </si>
  <si>
    <t>Límite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</si>
</sst>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#,##0.0"/>
    <numFmt numFmtId="166" formatCode="0.000"/>
    <numFmt numFmtId="167" formatCode="#,##0.000"/>
    <numFmt numFmtId="168" formatCode="#,##0.0000"/>
  </numFmts>
  <fonts count="19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vertAlign val="superscript"/>
      <sz val="13"/>
      <color theme="1"/>
      <name val="Calibri"/>
      <family val="2"/>
      <scheme val="minor"/>
    </font>
    <font>
      <b/>
      <sz val="13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3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</font>
    <font>
      <sz val="11"/>
      <color theme="1"/>
      <name val="Symbol"/>
      <family val="1"/>
      <charset val="2"/>
    </font>
    <font>
      <b/>
      <sz val="12"/>
      <color theme="1"/>
      <name val="Calibri"/>
      <family val="2"/>
    </font>
    <font>
      <b/>
      <sz val="14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3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5" borderId="1" xfId="0" applyFill="1" applyBorder="1"/>
    <xf numFmtId="0" fontId="0" fillId="0" borderId="0" xfId="0" applyBorder="1"/>
    <xf numFmtId="0" fontId="1" fillId="4" borderId="2" xfId="0" applyFont="1" applyFill="1" applyBorder="1" applyAlignment="1">
      <alignment horizontal="center"/>
    </xf>
    <xf numFmtId="165" fontId="0" fillId="5" borderId="1" xfId="0" applyNumberFormat="1" applyFill="1" applyBorder="1" applyAlignment="1">
      <alignment horizontal="left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3" fillId="3" borderId="1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0" fontId="0" fillId="2" borderId="1" xfId="0" applyFill="1" applyBorder="1" applyAlignment="1">
      <alignment horizontal="right" vertical="center"/>
    </xf>
    <xf numFmtId="0" fontId="0" fillId="2" borderId="1" xfId="0" applyFill="1" applyBorder="1"/>
    <xf numFmtId="166" fontId="0" fillId="0" borderId="0" xfId="0" applyNumberFormat="1"/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2" fontId="2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2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165" fontId="2" fillId="7" borderId="1" xfId="0" applyNumberFormat="1" applyFont="1" applyFill="1" applyBorder="1" applyAlignment="1">
      <alignment horizontal="center"/>
    </xf>
    <xf numFmtId="0" fontId="2" fillId="2" borderId="1" xfId="0" applyFont="1" applyFill="1" applyBorder="1"/>
    <xf numFmtId="165" fontId="2" fillId="0" borderId="0" xfId="0" applyNumberFormat="1" applyFont="1" applyAlignment="1">
      <alignment horizontal="left"/>
    </xf>
    <xf numFmtId="0" fontId="7" fillId="8" borderId="1" xfId="0" applyFont="1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0" fillId="6" borderId="1" xfId="0" applyFill="1" applyBorder="1"/>
    <xf numFmtId="0" fontId="8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/>
    </xf>
    <xf numFmtId="0" fontId="8" fillId="10" borderId="1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right"/>
    </xf>
    <xf numFmtId="2" fontId="0" fillId="0" borderId="0" xfId="0" applyNumberFormat="1" applyAlignment="1">
      <alignment horizontal="left"/>
    </xf>
    <xf numFmtId="4" fontId="0" fillId="0" borderId="0" xfId="0" applyNumberFormat="1" applyAlignment="1">
      <alignment horizontal="center"/>
    </xf>
    <xf numFmtId="0" fontId="0" fillId="6" borderId="1" xfId="0" applyFill="1" applyBorder="1" applyAlignment="1">
      <alignment horizontal="right"/>
    </xf>
    <xf numFmtId="17" fontId="0" fillId="6" borderId="1" xfId="0" applyNumberFormat="1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horizontal="right"/>
    </xf>
    <xf numFmtId="0" fontId="0" fillId="0" borderId="0" xfId="0" applyAlignment="1">
      <alignment horizontal="left"/>
    </xf>
    <xf numFmtId="0" fontId="0" fillId="2" borderId="1" xfId="0" applyFill="1" applyBorder="1" applyAlignment="1">
      <alignment horizontal="right"/>
    </xf>
    <xf numFmtId="165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0" fontId="0" fillId="5" borderId="1" xfId="0" applyFill="1" applyBorder="1" applyAlignment="1">
      <alignment horizontal="right"/>
    </xf>
    <xf numFmtId="0" fontId="0" fillId="12" borderId="1" xfId="0" applyFill="1" applyBorder="1"/>
    <xf numFmtId="4" fontId="0" fillId="0" borderId="0" xfId="0" applyNumberFormat="1" applyAlignment="1">
      <alignment horizontal="left"/>
    </xf>
    <xf numFmtId="4" fontId="0" fillId="0" borderId="0" xfId="0" applyNumberFormat="1"/>
    <xf numFmtId="168" fontId="0" fillId="0" borderId="0" xfId="0" applyNumberFormat="1" applyAlignment="1">
      <alignment horizontal="left"/>
    </xf>
    <xf numFmtId="0" fontId="0" fillId="11" borderId="1" xfId="0" applyFill="1" applyBorder="1"/>
    <xf numFmtId="0" fontId="0" fillId="11" borderId="1" xfId="0" applyFill="1" applyBorder="1" applyAlignment="1">
      <alignment horizontal="right"/>
    </xf>
    <xf numFmtId="4" fontId="2" fillId="0" borderId="0" xfId="0" applyNumberFormat="1" applyFont="1" applyAlignment="1">
      <alignment horizontal="left"/>
    </xf>
    <xf numFmtId="4" fontId="8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" fontId="2" fillId="0" borderId="0" xfId="0" applyNumberFormat="1" applyFont="1"/>
    <xf numFmtId="0" fontId="0" fillId="13" borderId="1" xfId="0" applyFill="1" applyBorder="1"/>
    <xf numFmtId="0" fontId="0" fillId="13" borderId="1" xfId="0" applyFill="1" applyBorder="1" applyAlignment="1">
      <alignment horizontal="right"/>
    </xf>
    <xf numFmtId="0" fontId="2" fillId="0" borderId="0" xfId="0" applyFont="1" applyAlignment="1">
      <alignment horizontal="left"/>
    </xf>
    <xf numFmtId="3" fontId="2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/>
    </xf>
    <xf numFmtId="4" fontId="2" fillId="0" borderId="0" xfId="0" applyNumberFormat="1" applyFont="1" applyAlignment="1">
      <alignment horizontal="center"/>
    </xf>
    <xf numFmtId="0" fontId="0" fillId="14" borderId="1" xfId="0" applyFill="1" applyBorder="1"/>
    <xf numFmtId="2" fontId="2" fillId="0" borderId="0" xfId="0" applyNumberFormat="1" applyFont="1" applyAlignment="1">
      <alignment horizontal="left"/>
    </xf>
    <xf numFmtId="0" fontId="0" fillId="14" borderId="1" xfId="0" applyFill="1" applyBorder="1" applyAlignment="1">
      <alignment horizontal="right"/>
    </xf>
    <xf numFmtId="1" fontId="2" fillId="0" borderId="0" xfId="0" applyNumberFormat="1" applyFont="1" applyAlignment="1">
      <alignment horizontal="left"/>
    </xf>
    <xf numFmtId="168" fontId="2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3" fillId="3" borderId="1" xfId="0" applyFont="1" applyFill="1" applyBorder="1"/>
    <xf numFmtId="0" fontId="3" fillId="3" borderId="5" xfId="0" applyFont="1" applyFill="1" applyBorder="1"/>
    <xf numFmtId="165" fontId="0" fillId="0" borderId="1" xfId="0" applyNumberFormat="1" applyBorder="1" applyAlignment="1">
      <alignment horizontal="center"/>
    </xf>
    <xf numFmtId="0" fontId="0" fillId="0" borderId="1" xfId="0" applyBorder="1"/>
    <xf numFmtId="164" fontId="0" fillId="0" borderId="1" xfId="0" applyNumberFormat="1" applyBorder="1" applyAlignment="1">
      <alignment horizontal="center"/>
    </xf>
    <xf numFmtId="0" fontId="0" fillId="6" borderId="1" xfId="0" applyFill="1" applyBorder="1" applyAlignment="1">
      <alignment horizontal="center"/>
    </xf>
    <xf numFmtId="4" fontId="3" fillId="3" borderId="1" xfId="0" applyNumberFormat="1" applyFont="1" applyFill="1" applyBorder="1" applyAlignment="1">
      <alignment horizontal="center"/>
    </xf>
    <xf numFmtId="2" fontId="0" fillId="0" borderId="0" xfId="0" applyNumberFormat="1"/>
    <xf numFmtId="0" fontId="16" fillId="15" borderId="2" xfId="0" applyFont="1" applyFill="1" applyBorder="1" applyAlignment="1">
      <alignment horizontal="center"/>
    </xf>
    <xf numFmtId="4" fontId="0" fillId="6" borderId="0" xfId="0" applyNumberFormat="1" applyFill="1" applyAlignment="1">
      <alignment horizontal="center"/>
    </xf>
    <xf numFmtId="1" fontId="2" fillId="0" borderId="0" xfId="0" applyNumberFormat="1" applyFont="1" applyAlignment="1">
      <alignment horizontal="center" vertical="center"/>
    </xf>
    <xf numFmtId="0" fontId="0" fillId="6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" fontId="2" fillId="0" borderId="0" xfId="0" applyNumberFormat="1" applyFont="1" applyAlignment="1">
      <alignment horizontal="center"/>
    </xf>
    <xf numFmtId="0" fontId="0" fillId="6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13" borderId="1" xfId="0" applyFill="1" applyBorder="1" applyAlignment="1">
      <alignment horizontal="center"/>
    </xf>
    <xf numFmtId="0" fontId="0" fillId="16" borderId="1" xfId="0" applyFill="1" applyBorder="1"/>
    <xf numFmtId="2" fontId="8" fillId="0" borderId="0" xfId="0" applyNumberFormat="1" applyFont="1"/>
    <xf numFmtId="2" fontId="2" fillId="0" borderId="0" xfId="0" applyNumberFormat="1" applyFont="1"/>
    <xf numFmtId="0" fontId="0" fillId="17" borderId="1" xfId="0" applyFill="1" applyBorder="1"/>
    <xf numFmtId="0" fontId="0" fillId="18" borderId="1" xfId="0" applyFill="1" applyBorder="1"/>
    <xf numFmtId="1" fontId="8" fillId="0" borderId="0" xfId="0" applyNumberFormat="1" applyFont="1" applyAlignment="1">
      <alignment horizontal="left"/>
    </xf>
    <xf numFmtId="1" fontId="2" fillId="19" borderId="1" xfId="0" applyNumberFormat="1" applyFont="1" applyFill="1" applyBorder="1" applyAlignment="1">
      <alignment horizontal="center"/>
    </xf>
    <xf numFmtId="164" fontId="0" fillId="0" borderId="0" xfId="0" applyNumberFormat="1" applyAlignment="1">
      <alignment horizontal="left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0" fillId="6" borderId="11" xfId="0" applyFill="1" applyBorder="1" applyAlignment="1">
      <alignment horizontal="center"/>
    </xf>
    <xf numFmtId="0" fontId="0" fillId="6" borderId="12" xfId="0" applyFill="1" applyBorder="1" applyAlignment="1">
      <alignment horizontal="center"/>
    </xf>
    <xf numFmtId="0" fontId="0" fillId="16" borderId="1" xfId="0" applyFill="1" applyBorder="1" applyAlignment="1">
      <alignment horizontal="right"/>
    </xf>
    <xf numFmtId="0" fontId="0" fillId="17" borderId="3" xfId="0" applyFill="1" applyBorder="1" applyAlignment="1">
      <alignment horizontal="center"/>
    </xf>
    <xf numFmtId="0" fontId="0" fillId="17" borderId="8" xfId="0" applyFill="1" applyBorder="1" applyAlignment="1">
      <alignment horizontal="center"/>
    </xf>
    <xf numFmtId="0" fontId="0" fillId="17" borderId="4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4" xfId="0" applyBorder="1" applyAlignment="1">
      <alignment horizontal="center"/>
    </xf>
    <xf numFmtId="166" fontId="2" fillId="0" borderId="3" xfId="0" applyNumberFormat="1" applyFont="1" applyBorder="1" applyAlignment="1">
      <alignment horizontal="left"/>
    </xf>
    <xf numFmtId="166" fontId="2" fillId="0" borderId="8" xfId="0" applyNumberFormat="1" applyFont="1" applyBorder="1" applyAlignment="1">
      <alignment horizontal="left"/>
    </xf>
    <xf numFmtId="166" fontId="2" fillId="0" borderId="4" xfId="0" applyNumberFormat="1" applyFont="1" applyBorder="1" applyAlignment="1">
      <alignment horizontal="left"/>
    </xf>
    <xf numFmtId="166" fontId="2" fillId="0" borderId="9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9" borderId="3" xfId="0" applyFont="1" applyFill="1" applyBorder="1" applyAlignment="1">
      <alignment horizontal="right"/>
    </xf>
    <xf numFmtId="0" fontId="2" fillId="9" borderId="8" xfId="0" applyFont="1" applyFill="1" applyBorder="1" applyAlignment="1">
      <alignment horizontal="right"/>
    </xf>
    <xf numFmtId="0" fontId="2" fillId="9" borderId="4" xfId="0" applyFont="1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4" xfId="0" applyFill="1" applyBorder="1" applyAlignment="1">
      <alignment horizontal="right"/>
    </xf>
    <xf numFmtId="0" fontId="0" fillId="6" borderId="1" xfId="0" applyFill="1" applyBorder="1" applyAlignment="1">
      <alignment horizontal="center"/>
    </xf>
    <xf numFmtId="0" fontId="0" fillId="14" borderId="3" xfId="0" applyFill="1" applyBorder="1" applyAlignment="1">
      <alignment horizontal="center"/>
    </xf>
    <xf numFmtId="0" fontId="0" fillId="14" borderId="4" xfId="0" applyFill="1" applyBorder="1" applyAlignment="1">
      <alignment horizontal="center"/>
    </xf>
    <xf numFmtId="0" fontId="0" fillId="6" borderId="1" xfId="0" applyFill="1" applyBorder="1" applyAlignment="1">
      <alignment horizontal="left"/>
    </xf>
    <xf numFmtId="0" fontId="0" fillId="14" borderId="1" xfId="0" applyFill="1" applyBorder="1" applyAlignment="1">
      <alignment horizontal="center"/>
    </xf>
    <xf numFmtId="0" fontId="18" fillId="4" borderId="6" xfId="0" applyFont="1" applyFill="1" applyBorder="1" applyAlignment="1">
      <alignment horizontal="center"/>
    </xf>
    <xf numFmtId="0" fontId="18" fillId="4" borderId="10" xfId="0" applyFont="1" applyFill="1" applyBorder="1" applyAlignment="1">
      <alignment horizontal="center"/>
    </xf>
    <xf numFmtId="0" fontId="18" fillId="4" borderId="7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 /><Relationship Id="rId13" Type="http://schemas.openxmlformats.org/officeDocument/2006/relationships/worksheet" Target="worksheets/sheet13.xml" /><Relationship Id="rId18" Type="http://schemas.openxmlformats.org/officeDocument/2006/relationships/worksheet" Target="worksheets/sheet18.xml" /><Relationship Id="rId26" Type="http://schemas.openxmlformats.org/officeDocument/2006/relationships/worksheet" Target="worksheets/sheet26.xml" /><Relationship Id="rId3" Type="http://schemas.openxmlformats.org/officeDocument/2006/relationships/worksheet" Target="worksheets/sheet3.xml" /><Relationship Id="rId21" Type="http://schemas.openxmlformats.org/officeDocument/2006/relationships/worksheet" Target="worksheets/sheet21.xml" /><Relationship Id="rId7" Type="http://schemas.openxmlformats.org/officeDocument/2006/relationships/worksheet" Target="worksheets/sheet7.xml" /><Relationship Id="rId12" Type="http://schemas.openxmlformats.org/officeDocument/2006/relationships/worksheet" Target="worksheets/sheet12.xml" /><Relationship Id="rId17" Type="http://schemas.openxmlformats.org/officeDocument/2006/relationships/worksheet" Target="worksheets/sheet17.xml" /><Relationship Id="rId25" Type="http://schemas.openxmlformats.org/officeDocument/2006/relationships/worksheet" Target="worksheets/sheet25.xml" /><Relationship Id="rId2" Type="http://schemas.openxmlformats.org/officeDocument/2006/relationships/worksheet" Target="worksheets/sheet2.xml" /><Relationship Id="rId16" Type="http://schemas.openxmlformats.org/officeDocument/2006/relationships/worksheet" Target="worksheets/sheet16.xml" /><Relationship Id="rId20" Type="http://schemas.openxmlformats.org/officeDocument/2006/relationships/worksheet" Target="worksheets/sheet20.xml" /><Relationship Id="rId29" Type="http://schemas.openxmlformats.org/officeDocument/2006/relationships/theme" Target="theme/theme1.xml" /><Relationship Id="rId1" Type="http://schemas.openxmlformats.org/officeDocument/2006/relationships/worksheet" Target="worksheets/sheet1.xml" /><Relationship Id="rId6" Type="http://schemas.openxmlformats.org/officeDocument/2006/relationships/worksheet" Target="worksheets/sheet6.xml" /><Relationship Id="rId11" Type="http://schemas.openxmlformats.org/officeDocument/2006/relationships/worksheet" Target="worksheets/sheet11.xml" /><Relationship Id="rId24" Type="http://schemas.openxmlformats.org/officeDocument/2006/relationships/worksheet" Target="worksheets/sheet24.xml" /><Relationship Id="rId32" Type="http://schemas.openxmlformats.org/officeDocument/2006/relationships/calcChain" Target="calcChain.xml" /><Relationship Id="rId5" Type="http://schemas.openxmlformats.org/officeDocument/2006/relationships/worksheet" Target="worksheets/sheet5.xml" /><Relationship Id="rId15" Type="http://schemas.openxmlformats.org/officeDocument/2006/relationships/worksheet" Target="worksheets/sheet15.xml" /><Relationship Id="rId23" Type="http://schemas.openxmlformats.org/officeDocument/2006/relationships/worksheet" Target="worksheets/sheet23.xml" /><Relationship Id="rId28" Type="http://schemas.openxmlformats.org/officeDocument/2006/relationships/worksheet" Target="worksheets/sheet28.xml" /><Relationship Id="rId10" Type="http://schemas.openxmlformats.org/officeDocument/2006/relationships/worksheet" Target="worksheets/sheet10.xml" /><Relationship Id="rId19" Type="http://schemas.openxmlformats.org/officeDocument/2006/relationships/worksheet" Target="worksheets/sheet19.xml" /><Relationship Id="rId31" Type="http://schemas.openxmlformats.org/officeDocument/2006/relationships/sharedStrings" Target="sharedStrings.xml" /><Relationship Id="rId4" Type="http://schemas.openxmlformats.org/officeDocument/2006/relationships/worksheet" Target="worksheets/sheet4.xml" /><Relationship Id="rId9" Type="http://schemas.openxmlformats.org/officeDocument/2006/relationships/worksheet" Target="worksheets/sheet9.xml" /><Relationship Id="rId14" Type="http://schemas.openxmlformats.org/officeDocument/2006/relationships/worksheet" Target="worksheets/sheet14.xml" /><Relationship Id="rId22" Type="http://schemas.openxmlformats.org/officeDocument/2006/relationships/worksheet" Target="worksheets/sheet22.xml" /><Relationship Id="rId27" Type="http://schemas.openxmlformats.org/officeDocument/2006/relationships/worksheet" Target="worksheets/sheet27.xml" /><Relationship Id="rId30" Type="http://schemas.openxmlformats.org/officeDocument/2006/relationships/styles" Target="styles.xml" 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 /><Relationship Id="rId1" Type="http://schemas.microsoft.com/office/2011/relationships/chartStyle" Target="style1.xml" 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 /><Relationship Id="rId1" Type="http://schemas.microsoft.com/office/2011/relationships/chartStyle" Target="style10.xml" 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 /><Relationship Id="rId1" Type="http://schemas.microsoft.com/office/2011/relationships/chartStyle" Target="style11.xml" 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 /><Relationship Id="rId1" Type="http://schemas.microsoft.com/office/2011/relationships/chartStyle" Target="style12.xml" 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 /><Relationship Id="rId1" Type="http://schemas.microsoft.com/office/2011/relationships/chartStyle" Target="style2.xml" 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 /><Relationship Id="rId1" Type="http://schemas.microsoft.com/office/2011/relationships/chartStyle" Target="style3.xml" 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 /><Relationship Id="rId1" Type="http://schemas.microsoft.com/office/2011/relationships/chartStyle" Target="style4.xml" 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 /><Relationship Id="rId1" Type="http://schemas.microsoft.com/office/2011/relationships/chartStyle" Target="style5.xml" 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 /><Relationship Id="rId1" Type="http://schemas.microsoft.com/office/2011/relationships/chartStyle" Target="style6.xml" 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 /><Relationship Id="rId1" Type="http://schemas.microsoft.com/office/2011/relationships/chartStyle" Target="style7.xml" 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 /><Relationship Id="rId1" Type="http://schemas.microsoft.com/office/2011/relationships/chartStyle" Target="style8.xml" 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 /><Relationship Id="rId1" Type="http://schemas.microsoft.com/office/2011/relationships/chartStyle" Target="style9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Granulometría continua (fracción 0/40 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'Granulometría 0-31,5mm'!$F$55</c:f>
              <c:strCache>
                <c:ptCount val="1"/>
                <c:pt idx="0">
                  <c:v>Media aritmética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'Granulometría 0-31,5mm'!$B$56:$B$68</c:f>
              <c:numCache>
                <c:formatCode>#,##0.0</c:formatCode>
                <c:ptCount val="13"/>
                <c:pt idx="0" formatCode="#,##0">
                  <c:v>40</c:v>
                </c:pt>
                <c:pt idx="1">
                  <c:v>31.5</c:v>
                </c:pt>
                <c:pt idx="2" formatCode="#,##0">
                  <c:v>16</c:v>
                </c:pt>
                <c:pt idx="3">
                  <c:v>12.5</c:v>
                </c:pt>
                <c:pt idx="4" formatCode="#,##0">
                  <c:v>8</c:v>
                </c:pt>
                <c:pt idx="5" formatCode="#,##0">
                  <c:v>4</c:v>
                </c:pt>
                <c:pt idx="6" formatCode="#,##0">
                  <c:v>2</c:v>
                </c:pt>
                <c:pt idx="7" formatCode="#,##0">
                  <c:v>1</c:v>
                </c:pt>
                <c:pt idx="8" formatCode="#,##0.000">
                  <c:v>0.5</c:v>
                </c:pt>
                <c:pt idx="9" formatCode="#,##0.000">
                  <c:v>0.25</c:v>
                </c:pt>
                <c:pt idx="10" formatCode="#,##0.000">
                  <c:v>0.125</c:v>
                </c:pt>
                <c:pt idx="11" formatCode="#,##0.000">
                  <c:v>6.3E-2</c:v>
                </c:pt>
                <c:pt idx="12" formatCode="#,##0">
                  <c:v>0</c:v>
                </c:pt>
              </c:numCache>
            </c:numRef>
          </c:xVal>
          <c:yVal>
            <c:numRef>
              <c:f>'Granulometría 0-31,5mm'!$F$56:$F$68</c:f>
              <c:numCache>
                <c:formatCode>#,##0.0</c:formatCode>
                <c:ptCount val="13"/>
                <c:pt idx="0">
                  <c:v>99.488247980407209</c:v>
                </c:pt>
                <c:pt idx="1">
                  <c:v>98.809914820001154</c:v>
                </c:pt>
                <c:pt idx="2">
                  <c:v>78.955154772560888</c:v>
                </c:pt>
                <c:pt idx="3">
                  <c:v>66.379544836996473</c:v>
                </c:pt>
                <c:pt idx="4">
                  <c:v>49.960828299345486</c:v>
                </c:pt>
                <c:pt idx="5">
                  <c:v>32.919948196070209</c:v>
                </c:pt>
                <c:pt idx="6">
                  <c:v>23.889186428654369</c:v>
                </c:pt>
                <c:pt idx="7">
                  <c:v>17.096226487792947</c:v>
                </c:pt>
                <c:pt idx="8">
                  <c:v>11.396651111620997</c:v>
                </c:pt>
                <c:pt idx="9">
                  <c:v>6.4784716070484762</c:v>
                </c:pt>
                <c:pt idx="10">
                  <c:v>3.5331540630123328</c:v>
                </c:pt>
                <c:pt idx="11">
                  <c:v>1.9812457612103174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9B-480D-8FD1-3ACB5E109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775648"/>
        <c:axId val="606773352"/>
      </c:scatterChart>
      <c:scatterChart>
        <c:scatterStyle val="smoothMarker"/>
        <c:varyColors val="0"/>
        <c:ser>
          <c:idx val="1"/>
          <c:order val="1"/>
          <c:tx>
            <c:strRef>
              <c:f>'Granulometría 0-31,5mm'!$C$55</c:f>
              <c:strCache>
                <c:ptCount val="1"/>
                <c:pt idx="0">
                  <c:v>Muestra 1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'Granulometría 0-31,5mm'!$B$56:$B$68</c:f>
              <c:numCache>
                <c:formatCode>#,##0.0</c:formatCode>
                <c:ptCount val="13"/>
                <c:pt idx="0" formatCode="#,##0">
                  <c:v>40</c:v>
                </c:pt>
                <c:pt idx="1">
                  <c:v>31.5</c:v>
                </c:pt>
                <c:pt idx="2" formatCode="#,##0">
                  <c:v>16</c:v>
                </c:pt>
                <c:pt idx="3">
                  <c:v>12.5</c:v>
                </c:pt>
                <c:pt idx="4" formatCode="#,##0">
                  <c:v>8</c:v>
                </c:pt>
                <c:pt idx="5" formatCode="#,##0">
                  <c:v>4</c:v>
                </c:pt>
                <c:pt idx="6" formatCode="#,##0">
                  <c:v>2</c:v>
                </c:pt>
                <c:pt idx="7" formatCode="#,##0">
                  <c:v>1</c:v>
                </c:pt>
                <c:pt idx="8" formatCode="#,##0.000">
                  <c:v>0.5</c:v>
                </c:pt>
                <c:pt idx="9" formatCode="#,##0.000">
                  <c:v>0.25</c:v>
                </c:pt>
                <c:pt idx="10" formatCode="#,##0.000">
                  <c:v>0.125</c:v>
                </c:pt>
                <c:pt idx="11" formatCode="#,##0.000">
                  <c:v>6.3E-2</c:v>
                </c:pt>
                <c:pt idx="12" formatCode="#,##0">
                  <c:v>0</c:v>
                </c:pt>
              </c:numCache>
            </c:numRef>
          </c:xVal>
          <c:yVal>
            <c:numRef>
              <c:f>'Granulometría 0-31,5mm'!$C$56:$C$68</c:f>
              <c:numCache>
                <c:formatCode>#,##0.0</c:formatCode>
                <c:ptCount val="13"/>
                <c:pt idx="0">
                  <c:v>0</c:v>
                </c:pt>
                <c:pt idx="1">
                  <c:v>0.42363272794739126</c:v>
                </c:pt>
                <c:pt idx="2">
                  <c:v>16.058875672555608</c:v>
                </c:pt>
                <c:pt idx="3">
                  <c:v>27.36811725659156</c:v>
                </c:pt>
                <c:pt idx="4">
                  <c:v>43.140448164258174</c:v>
                </c:pt>
                <c:pt idx="5">
                  <c:v>60.908285060504241</c:v>
                </c:pt>
                <c:pt idx="6">
                  <c:v>71.072378321548584</c:v>
                </c:pt>
                <c:pt idx="7">
                  <c:v>78.870931167412238</c:v>
                </c:pt>
                <c:pt idx="8">
                  <c:v>85.630501556412213</c:v>
                </c:pt>
                <c:pt idx="9">
                  <c:v>91.857181141643821</c:v>
                </c:pt>
                <c:pt idx="10">
                  <c:v>95.660599064091201</c:v>
                </c:pt>
                <c:pt idx="11">
                  <c:v>97.630336638561914</c:v>
                </c:pt>
                <c:pt idx="12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E9B-480D-8FD1-3ACB5E10933D}"/>
            </c:ext>
          </c:extLst>
        </c:ser>
        <c:ser>
          <c:idx val="2"/>
          <c:order val="2"/>
          <c:tx>
            <c:strRef>
              <c:f>'Granulometría 0-31,5mm'!$D$55</c:f>
              <c:strCache>
                <c:ptCount val="1"/>
                <c:pt idx="0">
                  <c:v>Muestra 2</c:v>
                </c:pt>
              </c:strCache>
            </c:strRef>
          </c:tx>
          <c:spPr>
            <a:ln w="9525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3175">
                <a:noFill/>
              </a:ln>
              <a:effectLst/>
            </c:spPr>
          </c:marker>
          <c:xVal>
            <c:numRef>
              <c:f>'Granulometría 0-31,5mm'!$B$56:$B$68</c:f>
              <c:numCache>
                <c:formatCode>#,##0.0</c:formatCode>
                <c:ptCount val="13"/>
                <c:pt idx="0" formatCode="#,##0">
                  <c:v>40</c:v>
                </c:pt>
                <c:pt idx="1">
                  <c:v>31.5</c:v>
                </c:pt>
                <c:pt idx="2" formatCode="#,##0">
                  <c:v>16</c:v>
                </c:pt>
                <c:pt idx="3">
                  <c:v>12.5</c:v>
                </c:pt>
                <c:pt idx="4" formatCode="#,##0">
                  <c:v>8</c:v>
                </c:pt>
                <c:pt idx="5" formatCode="#,##0">
                  <c:v>4</c:v>
                </c:pt>
                <c:pt idx="6" formatCode="#,##0">
                  <c:v>2</c:v>
                </c:pt>
                <c:pt idx="7" formatCode="#,##0">
                  <c:v>1</c:v>
                </c:pt>
                <c:pt idx="8" formatCode="#,##0.000">
                  <c:v>0.5</c:v>
                </c:pt>
                <c:pt idx="9" formatCode="#,##0.000">
                  <c:v>0.25</c:v>
                </c:pt>
                <c:pt idx="10" formatCode="#,##0.000">
                  <c:v>0.125</c:v>
                </c:pt>
                <c:pt idx="11" formatCode="#,##0.000">
                  <c:v>6.3E-2</c:v>
                </c:pt>
                <c:pt idx="12" formatCode="#,##0">
                  <c:v>0</c:v>
                </c:pt>
              </c:numCache>
            </c:numRef>
          </c:xVal>
          <c:yVal>
            <c:numRef>
              <c:f>'Granulometría 0-31,5mm'!$D$56:$D$68</c:f>
              <c:numCache>
                <c:formatCode>#,##0.0</c:formatCode>
                <c:ptCount val="13"/>
                <c:pt idx="0">
                  <c:v>1.0235040391855834</c:v>
                </c:pt>
                <c:pt idx="1">
                  <c:v>1.9565376320502981</c:v>
                </c:pt>
                <c:pt idx="2">
                  <c:v>26.030814782322626</c:v>
                </c:pt>
                <c:pt idx="3">
                  <c:v>39.872793069415508</c:v>
                </c:pt>
                <c:pt idx="4">
                  <c:v>56.937895237050853</c:v>
                </c:pt>
                <c:pt idx="5">
                  <c:v>73.251818547355342</c:v>
                </c:pt>
                <c:pt idx="6">
                  <c:v>81.149248821142677</c:v>
                </c:pt>
                <c:pt idx="7">
                  <c:v>86.936615857001868</c:v>
                </c:pt>
                <c:pt idx="8">
                  <c:v>91.576196220345807</c:v>
                </c:pt>
                <c:pt idx="9">
                  <c:v>95.185875644259241</c:v>
                </c:pt>
                <c:pt idx="10">
                  <c:v>97.273092809884133</c:v>
                </c:pt>
                <c:pt idx="11">
                  <c:v>98.407171839017437</c:v>
                </c:pt>
                <c:pt idx="12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E9B-480D-8FD1-3ACB5E109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817800"/>
        <c:axId val="605818128"/>
      </c:scatterChart>
      <c:valAx>
        <c:axId val="606775648"/>
        <c:scaling>
          <c:orientation val="minMax"/>
          <c:max val="4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>
                    <a:solidFill>
                      <a:schemeClr val="tx1"/>
                    </a:solidFill>
                  </a:rPr>
                  <a:t>Luz tamiz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.0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06773352"/>
        <c:crosses val="autoZero"/>
        <c:crossBetween val="midCat"/>
      </c:valAx>
      <c:valAx>
        <c:axId val="606773352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>
                    <a:solidFill>
                      <a:schemeClr val="tx1"/>
                    </a:solidFill>
                  </a:rPr>
                  <a:t>Porcentaje pasa acumulado (%)</a:t>
                </a:r>
              </a:p>
            </c:rich>
          </c:tx>
          <c:layout>
            <c:manualLayout>
              <c:xMode val="edge"/>
              <c:yMode val="edge"/>
              <c:x val="3.0555627416341824E-2"/>
              <c:y val="0.309907813683177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.0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06775648"/>
        <c:crosses val="autoZero"/>
        <c:crossBetween val="midCat"/>
      </c:valAx>
      <c:valAx>
        <c:axId val="605818128"/>
        <c:scaling>
          <c:orientation val="maxMin"/>
          <c:max val="100"/>
          <c:min val="0"/>
        </c:scaling>
        <c:delete val="0"/>
        <c:axPos val="r"/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>
                    <a:solidFill>
                      <a:schemeClr val="tx1"/>
                    </a:solidFill>
                  </a:rPr>
                  <a:t>Porcentaje retenido acumulado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.0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05817800"/>
        <c:crosses val="max"/>
        <c:crossBetween val="midCat"/>
      </c:valAx>
      <c:valAx>
        <c:axId val="605817800"/>
        <c:scaling>
          <c:orientation val="minMax"/>
        </c:scaling>
        <c:delete val="1"/>
        <c:axPos val="t"/>
        <c:numFmt formatCode="#,##0" sourceLinked="1"/>
        <c:majorTickMark val="out"/>
        <c:minorTickMark val="none"/>
        <c:tickLblPos val="nextTo"/>
        <c:crossAx val="605818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 paperSize="9" orientation="landscape" horizontalDpi="-4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Comparativa EHE-08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2"/>
          <c:tx>
            <c:strRef>
              <c:f>'Granulometría 0-4 mm'!$E$88:$E$89</c:f>
              <c:strCache>
                <c:ptCount val="2"/>
                <c:pt idx="0">
                  <c:v>EHE-08</c:v>
                </c:pt>
                <c:pt idx="1">
                  <c:v>Límite superior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'Granulometría 0-4 mm'!$B$90:$B$97</c:f>
              <c:numCache>
                <c:formatCode>General</c:formatCode>
                <c:ptCount val="8"/>
                <c:pt idx="0">
                  <c:v>4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0.125</c:v>
                </c:pt>
                <c:pt idx="6">
                  <c:v>6.3E-2</c:v>
                </c:pt>
                <c:pt idx="7">
                  <c:v>0</c:v>
                </c:pt>
              </c:numCache>
            </c:numRef>
          </c:xVal>
          <c:yVal>
            <c:numRef>
              <c:f>'Granulometría 0-4 mm'!$E$99:$E$105</c:f>
              <c:numCache>
                <c:formatCode>General</c:formatCode>
                <c:ptCount val="7"/>
                <c:pt idx="0">
                  <c:v>100</c:v>
                </c:pt>
                <c:pt idx="1">
                  <c:v>96</c:v>
                </c:pt>
                <c:pt idx="2">
                  <c:v>84</c:v>
                </c:pt>
                <c:pt idx="3">
                  <c:v>60</c:v>
                </c:pt>
                <c:pt idx="4">
                  <c:v>30</c:v>
                </c:pt>
                <c:pt idx="5">
                  <c:v>23</c:v>
                </c:pt>
                <c:pt idx="6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A7A-4204-8CA7-49EF0ED04D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775648"/>
        <c:axId val="606773352"/>
      </c:scatterChart>
      <c:scatterChart>
        <c:scatterStyle val="smoothMarker"/>
        <c:varyColors val="0"/>
        <c:ser>
          <c:idx val="0"/>
          <c:order val="0"/>
          <c:tx>
            <c:strRef>
              <c:f>'Granulometría 0-4 mm'!$C$89</c:f>
              <c:strCache>
                <c:ptCount val="1"/>
                <c:pt idx="0">
                  <c:v>Media aritmética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'Granulometría 0-4 mm'!$B$90:$B$97</c:f>
              <c:numCache>
                <c:formatCode>General</c:formatCode>
                <c:ptCount val="8"/>
                <c:pt idx="0">
                  <c:v>4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0.125</c:v>
                </c:pt>
                <c:pt idx="6">
                  <c:v>6.3E-2</c:v>
                </c:pt>
                <c:pt idx="7">
                  <c:v>0</c:v>
                </c:pt>
              </c:numCache>
            </c:numRef>
          </c:xVal>
          <c:yVal>
            <c:numRef>
              <c:f>'Granulometría 0-4 mm'!$C$90:$C$97</c:f>
              <c:numCache>
                <c:formatCode>#,##0.0</c:formatCode>
                <c:ptCount val="8"/>
                <c:pt idx="0">
                  <c:v>0.60836340571730196</c:v>
                </c:pt>
                <c:pt idx="1">
                  <c:v>25.734189514701921</c:v>
                </c:pt>
                <c:pt idx="2">
                  <c:v>47.279479100952528</c:v>
                </c:pt>
                <c:pt idx="3">
                  <c:v>65.97257905000275</c:v>
                </c:pt>
                <c:pt idx="4">
                  <c:v>81.593191731650336</c:v>
                </c:pt>
                <c:pt idx="5">
                  <c:v>90.577256324154206</c:v>
                </c:pt>
                <c:pt idx="6">
                  <c:v>95.170697729113456</c:v>
                </c:pt>
                <c:pt idx="7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A7A-4204-8CA7-49EF0ED04DBA}"/>
            </c:ext>
          </c:extLst>
        </c:ser>
        <c:ser>
          <c:idx val="1"/>
          <c:order val="1"/>
          <c:tx>
            <c:strRef>
              <c:f>'Granulometría 0-4 mm'!$D$88:$D$89</c:f>
              <c:strCache>
                <c:ptCount val="2"/>
                <c:pt idx="0">
                  <c:v>EHE-08</c:v>
                </c:pt>
                <c:pt idx="1">
                  <c:v>Límite inferior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'Granulometría 0-4 mm'!$B$90:$B$97</c:f>
              <c:numCache>
                <c:formatCode>General</c:formatCode>
                <c:ptCount val="8"/>
                <c:pt idx="0">
                  <c:v>4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0.125</c:v>
                </c:pt>
                <c:pt idx="6">
                  <c:v>6.3E-2</c:v>
                </c:pt>
                <c:pt idx="7">
                  <c:v>0</c:v>
                </c:pt>
              </c:numCache>
            </c:numRef>
          </c:xVal>
          <c:yVal>
            <c:numRef>
              <c:f>'Granulometría 0-4 mm'!$D$90:$D$96</c:f>
              <c:numCache>
                <c:formatCode>General</c:formatCode>
                <c:ptCount val="7"/>
                <c:pt idx="0">
                  <c:v>15</c:v>
                </c:pt>
                <c:pt idx="1">
                  <c:v>38</c:v>
                </c:pt>
                <c:pt idx="2">
                  <c:v>60</c:v>
                </c:pt>
                <c:pt idx="3">
                  <c:v>82</c:v>
                </c:pt>
                <c:pt idx="4">
                  <c:v>94</c:v>
                </c:pt>
                <c:pt idx="5">
                  <c:v>100</c:v>
                </c:pt>
                <c:pt idx="6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A7A-4204-8CA7-49EF0ED04D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0043832"/>
        <c:axId val="610045144"/>
      </c:scatterChart>
      <c:valAx>
        <c:axId val="606775648"/>
        <c:scaling>
          <c:logBase val="10"/>
          <c:orientation val="minMax"/>
          <c:max val="4"/>
          <c:min val="4.0000000000000008E-2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>
                    <a:solidFill>
                      <a:schemeClr val="tx1"/>
                    </a:solidFill>
                  </a:rPr>
                  <a:t>Luz tamiz (mm)</a:t>
                </a:r>
              </a:p>
            </c:rich>
          </c:tx>
          <c:layout>
            <c:manualLayout>
              <c:xMode val="edge"/>
              <c:yMode val="edge"/>
              <c:x val="0.42848847546142727"/>
              <c:y val="0.913034928152648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.0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06773352"/>
        <c:crossesAt val="0"/>
        <c:crossBetween val="midCat"/>
      </c:valAx>
      <c:valAx>
        <c:axId val="606773352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>
                    <a:solidFill>
                      <a:schemeClr val="tx1"/>
                    </a:solidFill>
                  </a:rPr>
                  <a:t>Porcentaje pasa acumulado (%)</a:t>
                </a:r>
              </a:p>
            </c:rich>
          </c:tx>
          <c:layout>
            <c:manualLayout>
              <c:xMode val="edge"/>
              <c:yMode val="edge"/>
              <c:x val="3.0555627416341824E-2"/>
              <c:y val="0.309907813683177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06775648"/>
        <c:crossesAt val="1.0000000000000002E-2"/>
        <c:crossBetween val="midCat"/>
      </c:valAx>
      <c:valAx>
        <c:axId val="610045144"/>
        <c:scaling>
          <c:orientation val="maxMin"/>
          <c:max val="100"/>
          <c:min val="0"/>
        </c:scaling>
        <c:delete val="0"/>
        <c:axPos val="r"/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>
                    <a:solidFill>
                      <a:sysClr val="windowText" lastClr="000000"/>
                    </a:solidFill>
                  </a:rPr>
                  <a:t>Porcentaje retenido acumulado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.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10043832"/>
        <c:crosses val="max"/>
        <c:crossBetween val="midCat"/>
      </c:valAx>
      <c:valAx>
        <c:axId val="610043832"/>
        <c:scaling>
          <c:logBase val="10"/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6100451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 paperSize="9" orientation="landscape" horizontalDpi="-4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Comparativa CURVA FULLER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'Granulometría 0-4 mm'!$C$110</c:f>
              <c:strCache>
                <c:ptCount val="1"/>
                <c:pt idx="0">
                  <c:v>Media aritmética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'Granulometría 0-4 mm'!$B$111:$B$118</c:f>
              <c:numCache>
                <c:formatCode>General</c:formatCode>
                <c:ptCount val="8"/>
                <c:pt idx="0">
                  <c:v>4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0.125</c:v>
                </c:pt>
                <c:pt idx="6">
                  <c:v>6.3E-2</c:v>
                </c:pt>
                <c:pt idx="7">
                  <c:v>0</c:v>
                </c:pt>
              </c:numCache>
            </c:numRef>
          </c:xVal>
          <c:yVal>
            <c:numRef>
              <c:f>'Granulometría 0-4 mm'!$C$111:$C$118</c:f>
              <c:numCache>
                <c:formatCode>#,##0.0</c:formatCode>
                <c:ptCount val="8"/>
                <c:pt idx="0">
                  <c:v>99.391636594282701</c:v>
                </c:pt>
                <c:pt idx="1">
                  <c:v>74.265810485298076</c:v>
                </c:pt>
                <c:pt idx="2">
                  <c:v>52.720520899047472</c:v>
                </c:pt>
                <c:pt idx="3">
                  <c:v>34.02742094999725</c:v>
                </c:pt>
                <c:pt idx="4">
                  <c:v>18.406808268349664</c:v>
                </c:pt>
                <c:pt idx="5">
                  <c:v>9.4227436758457941</c:v>
                </c:pt>
                <c:pt idx="6">
                  <c:v>4.8293022708865436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B0-4753-9C8D-1286DE849B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775648"/>
        <c:axId val="606773352"/>
      </c:scatterChart>
      <c:scatterChart>
        <c:scatterStyle val="smoothMarker"/>
        <c:varyColors val="0"/>
        <c:ser>
          <c:idx val="1"/>
          <c:order val="1"/>
          <c:tx>
            <c:strRef>
              <c:f>'Granulometría 0-4 mm'!$D$109</c:f>
              <c:strCache>
                <c:ptCount val="1"/>
                <c:pt idx="0">
                  <c:v>Curva FULLER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'Granulometría 0-4 mm'!$B$111:$B$118</c:f>
              <c:numCache>
                <c:formatCode>General</c:formatCode>
                <c:ptCount val="8"/>
                <c:pt idx="0">
                  <c:v>4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0.125</c:v>
                </c:pt>
                <c:pt idx="6">
                  <c:v>6.3E-2</c:v>
                </c:pt>
                <c:pt idx="7">
                  <c:v>0</c:v>
                </c:pt>
              </c:numCache>
            </c:numRef>
          </c:xVal>
          <c:yVal>
            <c:numRef>
              <c:f>'Granulometría 0-4 mm'!$E$111:$E$118</c:f>
              <c:numCache>
                <c:formatCode>0.00</c:formatCode>
                <c:ptCount val="8"/>
                <c:pt idx="0">
                  <c:v>0</c:v>
                </c:pt>
                <c:pt idx="1">
                  <c:v>29.289321881345245</c:v>
                </c:pt>
                <c:pt idx="2">
                  <c:v>50</c:v>
                </c:pt>
                <c:pt idx="3">
                  <c:v>64.644660940672622</c:v>
                </c:pt>
                <c:pt idx="4">
                  <c:v>75</c:v>
                </c:pt>
                <c:pt idx="5">
                  <c:v>82.322330470336311</c:v>
                </c:pt>
                <c:pt idx="6">
                  <c:v>87.450099601988867</c:v>
                </c:pt>
                <c:pt idx="7">
                  <c:v>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5B0-4753-9C8D-1286DE849B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5429656"/>
        <c:axId val="615425064"/>
      </c:scatterChart>
      <c:valAx>
        <c:axId val="606775648"/>
        <c:scaling>
          <c:logBase val="10"/>
          <c:orientation val="minMax"/>
          <c:max val="4"/>
          <c:min val="4.0000000000000008E-2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>
                    <a:solidFill>
                      <a:schemeClr val="tx1"/>
                    </a:solidFill>
                  </a:rPr>
                  <a:t>Luz tamiz (mm)</a:t>
                </a:r>
              </a:p>
            </c:rich>
          </c:tx>
          <c:layout>
            <c:manualLayout>
              <c:xMode val="edge"/>
              <c:yMode val="edge"/>
              <c:x val="0.42848847546142727"/>
              <c:y val="0.913034928152648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.0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06773352"/>
        <c:crossesAt val="0"/>
        <c:crossBetween val="midCat"/>
      </c:valAx>
      <c:valAx>
        <c:axId val="606773352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>
                    <a:solidFill>
                      <a:schemeClr val="tx1"/>
                    </a:solidFill>
                  </a:rPr>
                  <a:t>Porcentaje pasa acumulado (%)</a:t>
                </a:r>
              </a:p>
            </c:rich>
          </c:tx>
          <c:layout>
            <c:manualLayout>
              <c:xMode val="edge"/>
              <c:yMode val="edge"/>
              <c:x val="3.0555627416341824E-2"/>
              <c:y val="0.309907813683177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.0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06775648"/>
        <c:crossesAt val="1.0000000000000002E-2"/>
        <c:crossBetween val="midCat"/>
      </c:valAx>
      <c:valAx>
        <c:axId val="615425064"/>
        <c:scaling>
          <c:orientation val="maxMin"/>
          <c:min val="0"/>
        </c:scaling>
        <c:delete val="0"/>
        <c:axPos val="r"/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Porcentaje retenido acumulado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.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15429656"/>
        <c:crosses val="max"/>
        <c:crossBetween val="midCat"/>
      </c:valAx>
      <c:valAx>
        <c:axId val="615429656"/>
        <c:scaling>
          <c:logBase val="10"/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615425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 paperSize="9" orientation="landscape" horizontalDpi="-4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GRANULOMETRIC CURVE: FINE</a:t>
            </a:r>
            <a:r>
              <a:rPr lang="en-US" baseline="0">
                <a:solidFill>
                  <a:schemeClr val="tx1"/>
                </a:solidFill>
              </a:rPr>
              <a:t> RCA (0/4 mm)</a:t>
            </a:r>
            <a:endParaRPr lang="en-US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'Granulometría 0-4 mm'!$F$44</c:f>
              <c:strCache>
                <c:ptCount val="1"/>
                <c:pt idx="0">
                  <c:v>Media aritmética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'Granulometría 0-4 mm'!$B$45:$B$52</c:f>
              <c:numCache>
                <c:formatCode>General</c:formatCode>
                <c:ptCount val="8"/>
                <c:pt idx="0">
                  <c:v>4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0.125</c:v>
                </c:pt>
                <c:pt idx="6">
                  <c:v>6.3E-2</c:v>
                </c:pt>
                <c:pt idx="7">
                  <c:v>0</c:v>
                </c:pt>
              </c:numCache>
            </c:numRef>
          </c:xVal>
          <c:yVal>
            <c:numRef>
              <c:f>'Granulometría 0-4 mm'!$F$45:$F$52</c:f>
              <c:numCache>
                <c:formatCode>#,##0.00</c:formatCode>
                <c:ptCount val="8"/>
                <c:pt idx="0">
                  <c:v>99.391636594282701</c:v>
                </c:pt>
                <c:pt idx="1">
                  <c:v>74.265810485298076</c:v>
                </c:pt>
                <c:pt idx="2">
                  <c:v>52.720520899047472</c:v>
                </c:pt>
                <c:pt idx="3">
                  <c:v>34.02742094999725</c:v>
                </c:pt>
                <c:pt idx="4">
                  <c:v>18.406808268349664</c:v>
                </c:pt>
                <c:pt idx="5">
                  <c:v>9.4227436758457941</c:v>
                </c:pt>
                <c:pt idx="6">
                  <c:v>4.8293022708865436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76-47A4-8A47-7E1CB6CDB1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775648"/>
        <c:axId val="606773352"/>
      </c:scatterChart>
      <c:scatterChart>
        <c:scatterStyle val="smoothMarker"/>
        <c:varyColors val="0"/>
        <c:ser>
          <c:idx val="1"/>
          <c:order val="1"/>
          <c:tx>
            <c:strRef>
              <c:f>'Granulometría 0-4 mm'!$C$44</c:f>
              <c:strCache>
                <c:ptCount val="1"/>
                <c:pt idx="0">
                  <c:v>Muestra 1</c:v>
                </c:pt>
              </c:strCache>
            </c:strRef>
          </c:tx>
          <c:spPr>
            <a:ln w="9525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'Granulometría 0-4 mm'!$B$45:$B$52</c:f>
              <c:numCache>
                <c:formatCode>General</c:formatCode>
                <c:ptCount val="8"/>
                <c:pt idx="0">
                  <c:v>4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0.125</c:v>
                </c:pt>
                <c:pt idx="6">
                  <c:v>6.3E-2</c:v>
                </c:pt>
                <c:pt idx="7">
                  <c:v>0</c:v>
                </c:pt>
              </c:numCache>
            </c:numRef>
          </c:xVal>
          <c:yVal>
            <c:numRef>
              <c:f>'Granulometría 0-4 mm'!$C$45:$C$52</c:f>
              <c:numCache>
                <c:formatCode>#,##0.0</c:formatCode>
                <c:ptCount val="8"/>
                <c:pt idx="0">
                  <c:v>0.43785786460087595</c:v>
                </c:pt>
                <c:pt idx="1">
                  <c:v>25.867295385651744</c:v>
                </c:pt>
                <c:pt idx="2">
                  <c:v>47.96227686089594</c:v>
                </c:pt>
                <c:pt idx="3">
                  <c:v>66.621758167733276</c:v>
                </c:pt>
                <c:pt idx="4">
                  <c:v>81.913102054563865</c:v>
                </c:pt>
                <c:pt idx="5">
                  <c:v>90.670259346581389</c:v>
                </c:pt>
                <c:pt idx="6">
                  <c:v>95.116200740990266</c:v>
                </c:pt>
                <c:pt idx="7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D76-47A4-8A47-7E1CB6CDB1B6}"/>
            </c:ext>
          </c:extLst>
        </c:ser>
        <c:ser>
          <c:idx val="2"/>
          <c:order val="2"/>
          <c:tx>
            <c:strRef>
              <c:f>'Granulometría 0-4 mm'!$D$44</c:f>
              <c:strCache>
                <c:ptCount val="1"/>
                <c:pt idx="0">
                  <c:v>Muestra 2</c:v>
                </c:pt>
              </c:strCache>
            </c:strRef>
          </c:tx>
          <c:spPr>
            <a:ln w="9525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3175">
                <a:noFill/>
              </a:ln>
              <a:effectLst/>
            </c:spPr>
          </c:marker>
          <c:xVal>
            <c:numRef>
              <c:f>'Granulometría 0-4 mm'!$B$45:$B$52</c:f>
              <c:numCache>
                <c:formatCode>General</c:formatCode>
                <c:ptCount val="8"/>
                <c:pt idx="0">
                  <c:v>4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0.125</c:v>
                </c:pt>
                <c:pt idx="6">
                  <c:v>6.3E-2</c:v>
                </c:pt>
                <c:pt idx="7">
                  <c:v>0</c:v>
                </c:pt>
              </c:numCache>
            </c:numRef>
          </c:xVal>
          <c:yVal>
            <c:numRef>
              <c:f>'Granulometría 0-4 mm'!$D$45:$D$52</c:f>
              <c:numCache>
                <c:formatCode>#,##0.0</c:formatCode>
                <c:ptCount val="8"/>
                <c:pt idx="0">
                  <c:v>0.77886894683372787</c:v>
                </c:pt>
                <c:pt idx="1">
                  <c:v>25.601083643752098</c:v>
                </c:pt>
                <c:pt idx="2">
                  <c:v>46.596681341009109</c:v>
                </c:pt>
                <c:pt idx="3">
                  <c:v>65.323399932272224</c:v>
                </c:pt>
                <c:pt idx="4">
                  <c:v>81.273281408736821</c:v>
                </c:pt>
                <c:pt idx="5">
                  <c:v>90.484253301727009</c:v>
                </c:pt>
                <c:pt idx="6">
                  <c:v>95.225194717236647</c:v>
                </c:pt>
                <c:pt idx="7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D76-47A4-8A47-7E1CB6CDB1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817800"/>
        <c:axId val="605818128"/>
      </c:scatterChart>
      <c:valAx>
        <c:axId val="606775648"/>
        <c:scaling>
          <c:logBase val="10"/>
          <c:orientation val="minMax"/>
          <c:max val="5"/>
          <c:min val="1.0000000000000002E-2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>
                    <a:solidFill>
                      <a:schemeClr val="tx1"/>
                    </a:solidFill>
                  </a:rPr>
                  <a:t>Sieve size (mm)</a:t>
                </a:r>
              </a:p>
            </c:rich>
          </c:tx>
          <c:layout>
            <c:manualLayout>
              <c:xMode val="edge"/>
              <c:yMode val="edge"/>
              <c:x val="0.42848847546142727"/>
              <c:y val="0.913034928152648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.0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06773352"/>
        <c:crossesAt val="0"/>
        <c:crossBetween val="midCat"/>
      </c:valAx>
      <c:valAx>
        <c:axId val="606773352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>
                    <a:solidFill>
                      <a:schemeClr val="tx1"/>
                    </a:solidFill>
                  </a:rPr>
                  <a:t>Passing percentege (%)</a:t>
                </a:r>
              </a:p>
            </c:rich>
          </c:tx>
          <c:layout>
            <c:manualLayout>
              <c:xMode val="edge"/>
              <c:yMode val="edge"/>
              <c:x val="3.0555627416341824E-2"/>
              <c:y val="0.309907813683177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.00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06775648"/>
        <c:crossesAt val="1.0000000000000002E-2"/>
        <c:crossBetween val="midCat"/>
      </c:valAx>
      <c:valAx>
        <c:axId val="605818128"/>
        <c:scaling>
          <c:orientation val="maxMin"/>
          <c:max val="100"/>
          <c:min val="0"/>
        </c:scaling>
        <c:delete val="0"/>
        <c:axPos val="r"/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>
                    <a:solidFill>
                      <a:schemeClr val="tx1"/>
                    </a:solidFill>
                  </a:rPr>
                  <a:t>Accumulated percentege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.0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05817800"/>
        <c:crosses val="max"/>
        <c:crossBetween val="midCat"/>
      </c:valAx>
      <c:valAx>
        <c:axId val="605817800"/>
        <c:scaling>
          <c:logBase val="10"/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605818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 paperSize="9" orientation="landscape" horizontalDpi="-4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Granulometría continua (fracción 0/40 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'Granulometría 0-31,5mm'!$F$55</c:f>
              <c:strCache>
                <c:ptCount val="1"/>
                <c:pt idx="0">
                  <c:v>Media aritmética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'Granulometría 0-31,5mm'!$B$56:$B$68</c:f>
              <c:numCache>
                <c:formatCode>#,##0.0</c:formatCode>
                <c:ptCount val="13"/>
                <c:pt idx="0" formatCode="#,##0">
                  <c:v>40</c:v>
                </c:pt>
                <c:pt idx="1">
                  <c:v>31.5</c:v>
                </c:pt>
                <c:pt idx="2" formatCode="#,##0">
                  <c:v>16</c:v>
                </c:pt>
                <c:pt idx="3">
                  <c:v>12.5</c:v>
                </c:pt>
                <c:pt idx="4" formatCode="#,##0">
                  <c:v>8</c:v>
                </c:pt>
                <c:pt idx="5" formatCode="#,##0">
                  <c:v>4</c:v>
                </c:pt>
                <c:pt idx="6" formatCode="#,##0">
                  <c:v>2</c:v>
                </c:pt>
                <c:pt idx="7" formatCode="#,##0">
                  <c:v>1</c:v>
                </c:pt>
                <c:pt idx="8" formatCode="#,##0.000">
                  <c:v>0.5</c:v>
                </c:pt>
                <c:pt idx="9" formatCode="#,##0.000">
                  <c:v>0.25</c:v>
                </c:pt>
                <c:pt idx="10" formatCode="#,##0.000">
                  <c:v>0.125</c:v>
                </c:pt>
                <c:pt idx="11" formatCode="#,##0.000">
                  <c:v>6.3E-2</c:v>
                </c:pt>
                <c:pt idx="12" formatCode="#,##0">
                  <c:v>0</c:v>
                </c:pt>
              </c:numCache>
            </c:numRef>
          </c:xVal>
          <c:yVal>
            <c:numRef>
              <c:f>'Granulometría 0-31,5mm'!$F$56:$F$68</c:f>
              <c:numCache>
                <c:formatCode>#,##0.0</c:formatCode>
                <c:ptCount val="13"/>
                <c:pt idx="0">
                  <c:v>99.488247980407209</c:v>
                </c:pt>
                <c:pt idx="1">
                  <c:v>98.809914820001154</c:v>
                </c:pt>
                <c:pt idx="2">
                  <c:v>78.955154772560888</c:v>
                </c:pt>
                <c:pt idx="3">
                  <c:v>66.379544836996473</c:v>
                </c:pt>
                <c:pt idx="4">
                  <c:v>49.960828299345486</c:v>
                </c:pt>
                <c:pt idx="5">
                  <c:v>32.919948196070209</c:v>
                </c:pt>
                <c:pt idx="6">
                  <c:v>23.889186428654369</c:v>
                </c:pt>
                <c:pt idx="7">
                  <c:v>17.096226487792947</c:v>
                </c:pt>
                <c:pt idx="8">
                  <c:v>11.396651111620997</c:v>
                </c:pt>
                <c:pt idx="9">
                  <c:v>6.4784716070484762</c:v>
                </c:pt>
                <c:pt idx="10">
                  <c:v>3.5331540630123328</c:v>
                </c:pt>
                <c:pt idx="11">
                  <c:v>1.9812457612103174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0ED-4E0A-B786-179B90768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775648"/>
        <c:axId val="606773352"/>
      </c:scatterChart>
      <c:scatterChart>
        <c:scatterStyle val="smoothMarker"/>
        <c:varyColors val="0"/>
        <c:ser>
          <c:idx val="1"/>
          <c:order val="1"/>
          <c:tx>
            <c:strRef>
              <c:f>'Granulometría 0-31,5mm'!$C$55</c:f>
              <c:strCache>
                <c:ptCount val="1"/>
                <c:pt idx="0">
                  <c:v>Muestra 1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'Granulometría 0-31,5mm'!$B$56:$B$68</c:f>
              <c:numCache>
                <c:formatCode>#,##0.0</c:formatCode>
                <c:ptCount val="13"/>
                <c:pt idx="0" formatCode="#,##0">
                  <c:v>40</c:v>
                </c:pt>
                <c:pt idx="1">
                  <c:v>31.5</c:v>
                </c:pt>
                <c:pt idx="2" formatCode="#,##0">
                  <c:v>16</c:v>
                </c:pt>
                <c:pt idx="3">
                  <c:v>12.5</c:v>
                </c:pt>
                <c:pt idx="4" formatCode="#,##0">
                  <c:v>8</c:v>
                </c:pt>
                <c:pt idx="5" formatCode="#,##0">
                  <c:v>4</c:v>
                </c:pt>
                <c:pt idx="6" formatCode="#,##0">
                  <c:v>2</c:v>
                </c:pt>
                <c:pt idx="7" formatCode="#,##0">
                  <c:v>1</c:v>
                </c:pt>
                <c:pt idx="8" formatCode="#,##0.000">
                  <c:v>0.5</c:v>
                </c:pt>
                <c:pt idx="9" formatCode="#,##0.000">
                  <c:v>0.25</c:v>
                </c:pt>
                <c:pt idx="10" formatCode="#,##0.000">
                  <c:v>0.125</c:v>
                </c:pt>
                <c:pt idx="11" formatCode="#,##0.000">
                  <c:v>6.3E-2</c:v>
                </c:pt>
                <c:pt idx="12" formatCode="#,##0">
                  <c:v>0</c:v>
                </c:pt>
              </c:numCache>
            </c:numRef>
          </c:xVal>
          <c:yVal>
            <c:numRef>
              <c:f>'Granulometría 0-31,5mm'!$C$56:$C$68</c:f>
              <c:numCache>
                <c:formatCode>#,##0.0</c:formatCode>
                <c:ptCount val="13"/>
                <c:pt idx="0">
                  <c:v>0</c:v>
                </c:pt>
                <c:pt idx="1">
                  <c:v>0.42363272794739126</c:v>
                </c:pt>
                <c:pt idx="2">
                  <c:v>16.058875672555608</c:v>
                </c:pt>
                <c:pt idx="3">
                  <c:v>27.36811725659156</c:v>
                </c:pt>
                <c:pt idx="4">
                  <c:v>43.140448164258174</c:v>
                </c:pt>
                <c:pt idx="5">
                  <c:v>60.908285060504241</c:v>
                </c:pt>
                <c:pt idx="6">
                  <c:v>71.072378321548584</c:v>
                </c:pt>
                <c:pt idx="7">
                  <c:v>78.870931167412238</c:v>
                </c:pt>
                <c:pt idx="8">
                  <c:v>85.630501556412213</c:v>
                </c:pt>
                <c:pt idx="9">
                  <c:v>91.857181141643821</c:v>
                </c:pt>
                <c:pt idx="10">
                  <c:v>95.660599064091201</c:v>
                </c:pt>
                <c:pt idx="11">
                  <c:v>97.630336638561914</c:v>
                </c:pt>
                <c:pt idx="12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0ED-4E0A-B786-179B907680C3}"/>
            </c:ext>
          </c:extLst>
        </c:ser>
        <c:ser>
          <c:idx val="2"/>
          <c:order val="2"/>
          <c:tx>
            <c:strRef>
              <c:f>'Granulometría 0-31,5mm'!$D$55</c:f>
              <c:strCache>
                <c:ptCount val="1"/>
                <c:pt idx="0">
                  <c:v>Muestra 2</c:v>
                </c:pt>
              </c:strCache>
            </c:strRef>
          </c:tx>
          <c:spPr>
            <a:ln w="9525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3175">
                <a:noFill/>
              </a:ln>
              <a:effectLst/>
            </c:spPr>
          </c:marker>
          <c:xVal>
            <c:numRef>
              <c:f>'Granulometría 0-31,5mm'!$B$56:$B$68</c:f>
              <c:numCache>
                <c:formatCode>#,##0.0</c:formatCode>
                <c:ptCount val="13"/>
                <c:pt idx="0" formatCode="#,##0">
                  <c:v>40</c:v>
                </c:pt>
                <c:pt idx="1">
                  <c:v>31.5</c:v>
                </c:pt>
                <c:pt idx="2" formatCode="#,##0">
                  <c:v>16</c:v>
                </c:pt>
                <c:pt idx="3">
                  <c:v>12.5</c:v>
                </c:pt>
                <c:pt idx="4" formatCode="#,##0">
                  <c:v>8</c:v>
                </c:pt>
                <c:pt idx="5" formatCode="#,##0">
                  <c:v>4</c:v>
                </c:pt>
                <c:pt idx="6" formatCode="#,##0">
                  <c:v>2</c:v>
                </c:pt>
                <c:pt idx="7" formatCode="#,##0">
                  <c:v>1</c:v>
                </c:pt>
                <c:pt idx="8" formatCode="#,##0.000">
                  <c:v>0.5</c:v>
                </c:pt>
                <c:pt idx="9" formatCode="#,##0.000">
                  <c:v>0.25</c:v>
                </c:pt>
                <c:pt idx="10" formatCode="#,##0.000">
                  <c:v>0.125</c:v>
                </c:pt>
                <c:pt idx="11" formatCode="#,##0.000">
                  <c:v>6.3E-2</c:v>
                </c:pt>
                <c:pt idx="12" formatCode="#,##0">
                  <c:v>0</c:v>
                </c:pt>
              </c:numCache>
            </c:numRef>
          </c:xVal>
          <c:yVal>
            <c:numRef>
              <c:f>'Granulometría 0-31,5mm'!$D$56:$D$68</c:f>
              <c:numCache>
                <c:formatCode>#,##0.0</c:formatCode>
                <c:ptCount val="13"/>
                <c:pt idx="0">
                  <c:v>1.0235040391855834</c:v>
                </c:pt>
                <c:pt idx="1">
                  <c:v>1.9565376320502981</c:v>
                </c:pt>
                <c:pt idx="2">
                  <c:v>26.030814782322626</c:v>
                </c:pt>
                <c:pt idx="3">
                  <c:v>39.872793069415508</c:v>
                </c:pt>
                <c:pt idx="4">
                  <c:v>56.937895237050853</c:v>
                </c:pt>
                <c:pt idx="5">
                  <c:v>73.251818547355342</c:v>
                </c:pt>
                <c:pt idx="6">
                  <c:v>81.149248821142677</c:v>
                </c:pt>
                <c:pt idx="7">
                  <c:v>86.936615857001868</c:v>
                </c:pt>
                <c:pt idx="8">
                  <c:v>91.576196220345807</c:v>
                </c:pt>
                <c:pt idx="9">
                  <c:v>95.185875644259241</c:v>
                </c:pt>
                <c:pt idx="10">
                  <c:v>97.273092809884133</c:v>
                </c:pt>
                <c:pt idx="11">
                  <c:v>98.407171839017437</c:v>
                </c:pt>
                <c:pt idx="12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0ED-4E0A-B786-179B90768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817800"/>
        <c:axId val="605818128"/>
      </c:scatterChart>
      <c:valAx>
        <c:axId val="606775648"/>
        <c:scaling>
          <c:logBase val="10"/>
          <c:orientation val="minMax"/>
          <c:max val="50"/>
          <c:min val="5.000000000000001E-2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>
                    <a:solidFill>
                      <a:schemeClr val="tx1"/>
                    </a:solidFill>
                  </a:rPr>
                  <a:t>Luz tamiz (mm)</a:t>
                </a:r>
              </a:p>
            </c:rich>
          </c:tx>
          <c:layout>
            <c:manualLayout>
              <c:xMode val="edge"/>
              <c:yMode val="edge"/>
              <c:x val="0.42848847546142727"/>
              <c:y val="0.913034928152648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.0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06773352"/>
        <c:crossesAt val="0"/>
        <c:crossBetween val="midCat"/>
      </c:valAx>
      <c:valAx>
        <c:axId val="606773352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>
                    <a:solidFill>
                      <a:schemeClr val="tx1"/>
                    </a:solidFill>
                  </a:rPr>
                  <a:t>Porcentaje pasa acumulado (%)</a:t>
                </a:r>
              </a:p>
            </c:rich>
          </c:tx>
          <c:layout>
            <c:manualLayout>
              <c:xMode val="edge"/>
              <c:yMode val="edge"/>
              <c:x val="3.0555627416341824E-2"/>
              <c:y val="0.309907813683177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.0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06775648"/>
        <c:crossesAt val="1.0000000000000002E-2"/>
        <c:crossBetween val="midCat"/>
      </c:valAx>
      <c:valAx>
        <c:axId val="605818128"/>
        <c:scaling>
          <c:orientation val="maxMin"/>
          <c:max val="100"/>
          <c:min val="0"/>
        </c:scaling>
        <c:delete val="0"/>
        <c:axPos val="r"/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>
                    <a:solidFill>
                      <a:schemeClr val="tx1"/>
                    </a:solidFill>
                  </a:rPr>
                  <a:t>Porcentaje retenido acumulado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.0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05817800"/>
        <c:crosses val="max"/>
        <c:crossBetween val="midCat"/>
      </c:valAx>
      <c:valAx>
        <c:axId val="605817800"/>
        <c:scaling>
          <c:logBase val="10"/>
          <c:orientation val="minMax"/>
        </c:scaling>
        <c:delete val="1"/>
        <c:axPos val="t"/>
        <c:numFmt formatCode="#,##0" sourceLinked="1"/>
        <c:majorTickMark val="out"/>
        <c:minorTickMark val="none"/>
        <c:tickLblPos val="nextTo"/>
        <c:crossAx val="605818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 paperSize="9" orientation="landscape" horizontalDpi="-4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Granulometría continua (fracción 4/12,5 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'Granulometría 4-12,5mm'!$F$56</c:f>
              <c:strCache>
                <c:ptCount val="1"/>
                <c:pt idx="0">
                  <c:v>Media aritmética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'Granulometría 4-12,5mm'!$B$57:$B$70</c:f>
              <c:numCache>
                <c:formatCode>General</c:formatCode>
                <c:ptCount val="14"/>
                <c:pt idx="0">
                  <c:v>12.5</c:v>
                </c:pt>
                <c:pt idx="1">
                  <c:v>11.2</c:v>
                </c:pt>
                <c:pt idx="2">
                  <c:v>10</c:v>
                </c:pt>
                <c:pt idx="3">
                  <c:v>8</c:v>
                </c:pt>
                <c:pt idx="4">
                  <c:v>6.3</c:v>
                </c:pt>
                <c:pt idx="5">
                  <c:v>5</c:v>
                </c:pt>
                <c:pt idx="6">
                  <c:v>4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0.25</c:v>
                </c:pt>
                <c:pt idx="11">
                  <c:v>0.125</c:v>
                </c:pt>
                <c:pt idx="12">
                  <c:v>6.3E-2</c:v>
                </c:pt>
                <c:pt idx="13">
                  <c:v>0</c:v>
                </c:pt>
              </c:numCache>
            </c:numRef>
          </c:xVal>
          <c:yVal>
            <c:numRef>
              <c:f>'Granulometría 4-12,5mm'!$F$57:$F$70</c:f>
              <c:numCache>
                <c:formatCode>#,##0.00</c:formatCode>
                <c:ptCount val="14"/>
                <c:pt idx="0">
                  <c:v>99.56488488160791</c:v>
                </c:pt>
                <c:pt idx="1">
                  <c:v>94.183300791895348</c:v>
                </c:pt>
                <c:pt idx="2">
                  <c:v>85.609281376748285</c:v>
                </c:pt>
                <c:pt idx="3">
                  <c:v>63.130748521785115</c:v>
                </c:pt>
                <c:pt idx="4">
                  <c:v>37.312614792151848</c:v>
                </c:pt>
                <c:pt idx="5">
                  <c:v>19.512418349880761</c:v>
                </c:pt>
                <c:pt idx="6">
                  <c:v>4.5202089581942744</c:v>
                </c:pt>
                <c:pt idx="7">
                  <c:v>0.65131375105781331</c:v>
                </c:pt>
                <c:pt idx="8">
                  <c:v>0.50209832775996688</c:v>
                </c:pt>
                <c:pt idx="9">
                  <c:v>0.40415767854906903</c:v>
                </c:pt>
                <c:pt idx="10">
                  <c:v>0.31296119126449184</c:v>
                </c:pt>
                <c:pt idx="11">
                  <c:v>0.22384874561225843</c:v>
                </c:pt>
                <c:pt idx="12">
                  <c:v>0.16538226847396231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58-414E-B9AC-9A1F63BD0B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775648"/>
        <c:axId val="606773352"/>
      </c:scatterChart>
      <c:scatterChart>
        <c:scatterStyle val="smoothMarker"/>
        <c:varyColors val="0"/>
        <c:ser>
          <c:idx val="1"/>
          <c:order val="1"/>
          <c:tx>
            <c:strRef>
              <c:f>'Granulometría 4-12,5mm'!$C$56</c:f>
              <c:strCache>
                <c:ptCount val="1"/>
                <c:pt idx="0">
                  <c:v>Muestra 1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'Granulometría 4-12,5mm'!$B$57:$B$70</c:f>
              <c:numCache>
                <c:formatCode>General</c:formatCode>
                <c:ptCount val="14"/>
                <c:pt idx="0">
                  <c:v>12.5</c:v>
                </c:pt>
                <c:pt idx="1">
                  <c:v>11.2</c:v>
                </c:pt>
                <c:pt idx="2">
                  <c:v>10</c:v>
                </c:pt>
                <c:pt idx="3">
                  <c:v>8</c:v>
                </c:pt>
                <c:pt idx="4">
                  <c:v>6.3</c:v>
                </c:pt>
                <c:pt idx="5">
                  <c:v>5</c:v>
                </c:pt>
                <c:pt idx="6">
                  <c:v>4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0.25</c:v>
                </c:pt>
                <c:pt idx="11">
                  <c:v>0.125</c:v>
                </c:pt>
                <c:pt idx="12">
                  <c:v>6.3E-2</c:v>
                </c:pt>
                <c:pt idx="13">
                  <c:v>0</c:v>
                </c:pt>
              </c:numCache>
            </c:numRef>
          </c:xVal>
          <c:yVal>
            <c:numRef>
              <c:f>'Granulometría 4-12,5mm'!$C$57:$C$70</c:f>
              <c:numCache>
                <c:formatCode>#,##0.0</c:formatCode>
                <c:ptCount val="14"/>
                <c:pt idx="0">
                  <c:v>0.81458921953546404</c:v>
                </c:pt>
                <c:pt idx="1">
                  <c:v>6.5864308516493608</c:v>
                </c:pt>
                <c:pt idx="2">
                  <c:v>14.684621876490663</c:v>
                </c:pt>
                <c:pt idx="3">
                  <c:v>36.85832752357539</c:v>
                </c:pt>
                <c:pt idx="4">
                  <c:v>65.295563791142257</c:v>
                </c:pt>
                <c:pt idx="5">
                  <c:v>81.719443730965395</c:v>
                </c:pt>
                <c:pt idx="6">
                  <c:v>96.360033757751452</c:v>
                </c:pt>
                <c:pt idx="7">
                  <c:v>99.757824826624599</c:v>
                </c:pt>
                <c:pt idx="8">
                  <c:v>99.823872601181534</c:v>
                </c:pt>
                <c:pt idx="9">
                  <c:v>99.849557846842558</c:v>
                </c:pt>
                <c:pt idx="10">
                  <c:v>99.871573771694855</c:v>
                </c:pt>
                <c:pt idx="11">
                  <c:v>99.915605621399479</c:v>
                </c:pt>
                <c:pt idx="12">
                  <c:v>99.937621546251776</c:v>
                </c:pt>
                <c:pt idx="13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258-414E-B9AC-9A1F63BD0B2B}"/>
            </c:ext>
          </c:extLst>
        </c:ser>
        <c:ser>
          <c:idx val="2"/>
          <c:order val="2"/>
          <c:tx>
            <c:strRef>
              <c:f>'Granulometría 4-12,5mm'!$D$56</c:f>
              <c:strCache>
                <c:ptCount val="1"/>
                <c:pt idx="0">
                  <c:v>Muestra 2</c:v>
                </c:pt>
              </c:strCache>
            </c:strRef>
          </c:tx>
          <c:spPr>
            <a:ln w="9525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3175">
                <a:noFill/>
              </a:ln>
              <a:effectLst/>
            </c:spPr>
          </c:marker>
          <c:xVal>
            <c:numRef>
              <c:f>'Granulometría 4-12,5mm'!$B$57:$B$70</c:f>
              <c:numCache>
                <c:formatCode>General</c:formatCode>
                <c:ptCount val="14"/>
                <c:pt idx="0">
                  <c:v>12.5</c:v>
                </c:pt>
                <c:pt idx="1">
                  <c:v>11.2</c:v>
                </c:pt>
                <c:pt idx="2">
                  <c:v>10</c:v>
                </c:pt>
                <c:pt idx="3">
                  <c:v>8</c:v>
                </c:pt>
                <c:pt idx="4">
                  <c:v>6.3</c:v>
                </c:pt>
                <c:pt idx="5">
                  <c:v>5</c:v>
                </c:pt>
                <c:pt idx="6">
                  <c:v>4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0.25</c:v>
                </c:pt>
                <c:pt idx="11">
                  <c:v>0.125</c:v>
                </c:pt>
                <c:pt idx="12">
                  <c:v>6.3E-2</c:v>
                </c:pt>
                <c:pt idx="13">
                  <c:v>0</c:v>
                </c:pt>
              </c:numCache>
            </c:numRef>
          </c:xVal>
          <c:yVal>
            <c:numRef>
              <c:f>'Granulometría 4-12,5mm'!$D$57:$D$70</c:f>
              <c:numCache>
                <c:formatCode>#,##0.0</c:formatCode>
                <c:ptCount val="14"/>
                <c:pt idx="0">
                  <c:v>5.5641017248715341E-2</c:v>
                </c:pt>
                <c:pt idx="1">
                  <c:v>5.0469675645599441</c:v>
                </c:pt>
                <c:pt idx="2">
                  <c:v>14.096815370012763</c:v>
                </c:pt>
                <c:pt idx="3">
                  <c:v>36.880175432854379</c:v>
                </c:pt>
                <c:pt idx="4">
                  <c:v>60.079206624554047</c:v>
                </c:pt>
                <c:pt idx="5">
                  <c:v>79.255719569273069</c:v>
                </c:pt>
                <c:pt idx="6">
                  <c:v>94.599548325859985</c:v>
                </c:pt>
                <c:pt idx="7">
                  <c:v>98.939547671259774</c:v>
                </c:pt>
                <c:pt idx="8">
                  <c:v>99.171930743298518</c:v>
                </c:pt>
                <c:pt idx="9">
                  <c:v>99.34212679605929</c:v>
                </c:pt>
                <c:pt idx="10">
                  <c:v>99.502503845776175</c:v>
                </c:pt>
                <c:pt idx="11">
                  <c:v>99.636696887376019</c:v>
                </c:pt>
                <c:pt idx="12">
                  <c:v>99.731613916800313</c:v>
                </c:pt>
                <c:pt idx="13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258-414E-B9AC-9A1F63BD0B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817800"/>
        <c:axId val="605818128"/>
      </c:scatterChart>
      <c:valAx>
        <c:axId val="606775648"/>
        <c:scaling>
          <c:orientation val="minMax"/>
          <c:max val="12.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>
                    <a:solidFill>
                      <a:schemeClr val="tx1"/>
                    </a:solidFill>
                  </a:rPr>
                  <a:t>Luz tamiz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.0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06773352"/>
        <c:crosses val="autoZero"/>
        <c:crossBetween val="midCat"/>
        <c:majorUnit val="1"/>
      </c:valAx>
      <c:valAx>
        <c:axId val="606773352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>
                    <a:solidFill>
                      <a:schemeClr val="tx1"/>
                    </a:solidFill>
                  </a:rPr>
                  <a:t>Porcentaje pasa acumulado (%)</a:t>
                </a:r>
              </a:p>
            </c:rich>
          </c:tx>
          <c:layout>
            <c:manualLayout>
              <c:xMode val="edge"/>
              <c:yMode val="edge"/>
              <c:x val="3.0555627416341824E-2"/>
              <c:y val="0.309907813683177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.00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06775648"/>
        <c:crosses val="autoZero"/>
        <c:crossBetween val="midCat"/>
      </c:valAx>
      <c:valAx>
        <c:axId val="605818128"/>
        <c:scaling>
          <c:orientation val="maxMin"/>
          <c:max val="100"/>
          <c:min val="0"/>
        </c:scaling>
        <c:delete val="0"/>
        <c:axPos val="r"/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>
                    <a:solidFill>
                      <a:schemeClr val="tx1"/>
                    </a:solidFill>
                  </a:rPr>
                  <a:t>Porcentaje retenido acumulado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.0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05817800"/>
        <c:crosses val="max"/>
        <c:crossBetween val="midCat"/>
      </c:valAx>
      <c:valAx>
        <c:axId val="60581780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605818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 paperSize="9" orientation="landscape" horizontalDpi="-4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Granulometría continua (fracción 4/12,5 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'Granulometría 4-12,5mm'!$F$56</c:f>
              <c:strCache>
                <c:ptCount val="1"/>
                <c:pt idx="0">
                  <c:v>Media aritmética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'Granulometría 4-12,5mm'!$B$57:$B$70</c:f>
              <c:numCache>
                <c:formatCode>General</c:formatCode>
                <c:ptCount val="14"/>
                <c:pt idx="0">
                  <c:v>12.5</c:v>
                </c:pt>
                <c:pt idx="1">
                  <c:v>11.2</c:v>
                </c:pt>
                <c:pt idx="2">
                  <c:v>10</c:v>
                </c:pt>
                <c:pt idx="3">
                  <c:v>8</c:v>
                </c:pt>
                <c:pt idx="4">
                  <c:v>6.3</c:v>
                </c:pt>
                <c:pt idx="5">
                  <c:v>5</c:v>
                </c:pt>
                <c:pt idx="6">
                  <c:v>4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0.25</c:v>
                </c:pt>
                <c:pt idx="11">
                  <c:v>0.125</c:v>
                </c:pt>
                <c:pt idx="12">
                  <c:v>6.3E-2</c:v>
                </c:pt>
                <c:pt idx="13">
                  <c:v>0</c:v>
                </c:pt>
              </c:numCache>
            </c:numRef>
          </c:xVal>
          <c:yVal>
            <c:numRef>
              <c:f>'Granulometría 4-12,5mm'!$F$57:$F$70</c:f>
              <c:numCache>
                <c:formatCode>#,##0.00</c:formatCode>
                <c:ptCount val="14"/>
                <c:pt idx="0">
                  <c:v>99.56488488160791</c:v>
                </c:pt>
                <c:pt idx="1">
                  <c:v>94.183300791895348</c:v>
                </c:pt>
                <c:pt idx="2">
                  <c:v>85.609281376748285</c:v>
                </c:pt>
                <c:pt idx="3">
                  <c:v>63.130748521785115</c:v>
                </c:pt>
                <c:pt idx="4">
                  <c:v>37.312614792151848</c:v>
                </c:pt>
                <c:pt idx="5">
                  <c:v>19.512418349880761</c:v>
                </c:pt>
                <c:pt idx="6">
                  <c:v>4.5202089581942744</c:v>
                </c:pt>
                <c:pt idx="7">
                  <c:v>0.65131375105781331</c:v>
                </c:pt>
                <c:pt idx="8">
                  <c:v>0.50209832775996688</c:v>
                </c:pt>
                <c:pt idx="9">
                  <c:v>0.40415767854906903</c:v>
                </c:pt>
                <c:pt idx="10">
                  <c:v>0.31296119126449184</c:v>
                </c:pt>
                <c:pt idx="11">
                  <c:v>0.22384874561225843</c:v>
                </c:pt>
                <c:pt idx="12">
                  <c:v>0.16538226847396231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C37-473C-809D-A1514B327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775648"/>
        <c:axId val="606773352"/>
      </c:scatterChart>
      <c:scatterChart>
        <c:scatterStyle val="smoothMarker"/>
        <c:varyColors val="0"/>
        <c:ser>
          <c:idx val="1"/>
          <c:order val="1"/>
          <c:tx>
            <c:strRef>
              <c:f>'Granulometría 4-12,5mm'!$C$56</c:f>
              <c:strCache>
                <c:ptCount val="1"/>
                <c:pt idx="0">
                  <c:v>Muestra 1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'Granulometría 4-12,5mm'!$B$57:$B$70</c:f>
              <c:numCache>
                <c:formatCode>General</c:formatCode>
                <c:ptCount val="14"/>
                <c:pt idx="0">
                  <c:v>12.5</c:v>
                </c:pt>
                <c:pt idx="1">
                  <c:v>11.2</c:v>
                </c:pt>
                <c:pt idx="2">
                  <c:v>10</c:v>
                </c:pt>
                <c:pt idx="3">
                  <c:v>8</c:v>
                </c:pt>
                <c:pt idx="4">
                  <c:v>6.3</c:v>
                </c:pt>
                <c:pt idx="5">
                  <c:v>5</c:v>
                </c:pt>
                <c:pt idx="6">
                  <c:v>4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0.25</c:v>
                </c:pt>
                <c:pt idx="11">
                  <c:v>0.125</c:v>
                </c:pt>
                <c:pt idx="12">
                  <c:v>6.3E-2</c:v>
                </c:pt>
                <c:pt idx="13">
                  <c:v>0</c:v>
                </c:pt>
              </c:numCache>
            </c:numRef>
          </c:xVal>
          <c:yVal>
            <c:numRef>
              <c:f>'Granulometría 4-12,5mm'!$C$57:$C$70</c:f>
              <c:numCache>
                <c:formatCode>#,##0.0</c:formatCode>
                <c:ptCount val="14"/>
                <c:pt idx="0">
                  <c:v>0.81458921953546404</c:v>
                </c:pt>
                <c:pt idx="1">
                  <c:v>6.5864308516493608</c:v>
                </c:pt>
                <c:pt idx="2">
                  <c:v>14.684621876490663</c:v>
                </c:pt>
                <c:pt idx="3">
                  <c:v>36.85832752357539</c:v>
                </c:pt>
                <c:pt idx="4">
                  <c:v>65.295563791142257</c:v>
                </c:pt>
                <c:pt idx="5">
                  <c:v>81.719443730965395</c:v>
                </c:pt>
                <c:pt idx="6">
                  <c:v>96.360033757751452</c:v>
                </c:pt>
                <c:pt idx="7">
                  <c:v>99.757824826624599</c:v>
                </c:pt>
                <c:pt idx="8">
                  <c:v>99.823872601181534</c:v>
                </c:pt>
                <c:pt idx="9">
                  <c:v>99.849557846842558</c:v>
                </c:pt>
                <c:pt idx="10">
                  <c:v>99.871573771694855</c:v>
                </c:pt>
                <c:pt idx="11">
                  <c:v>99.915605621399479</c:v>
                </c:pt>
                <c:pt idx="12">
                  <c:v>99.937621546251776</c:v>
                </c:pt>
                <c:pt idx="13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C37-473C-809D-A1514B327AC4}"/>
            </c:ext>
          </c:extLst>
        </c:ser>
        <c:ser>
          <c:idx val="2"/>
          <c:order val="2"/>
          <c:tx>
            <c:strRef>
              <c:f>'Granulometría 4-12,5mm'!$D$56</c:f>
              <c:strCache>
                <c:ptCount val="1"/>
                <c:pt idx="0">
                  <c:v>Muestra 2</c:v>
                </c:pt>
              </c:strCache>
            </c:strRef>
          </c:tx>
          <c:spPr>
            <a:ln w="9525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3175">
                <a:noFill/>
              </a:ln>
              <a:effectLst/>
            </c:spPr>
          </c:marker>
          <c:xVal>
            <c:numRef>
              <c:f>'Granulometría 4-12,5mm'!$B$57:$B$70</c:f>
              <c:numCache>
                <c:formatCode>General</c:formatCode>
                <c:ptCount val="14"/>
                <c:pt idx="0">
                  <c:v>12.5</c:v>
                </c:pt>
                <c:pt idx="1">
                  <c:v>11.2</c:v>
                </c:pt>
                <c:pt idx="2">
                  <c:v>10</c:v>
                </c:pt>
                <c:pt idx="3">
                  <c:v>8</c:v>
                </c:pt>
                <c:pt idx="4">
                  <c:v>6.3</c:v>
                </c:pt>
                <c:pt idx="5">
                  <c:v>5</c:v>
                </c:pt>
                <c:pt idx="6">
                  <c:v>4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0.25</c:v>
                </c:pt>
                <c:pt idx="11">
                  <c:v>0.125</c:v>
                </c:pt>
                <c:pt idx="12">
                  <c:v>6.3E-2</c:v>
                </c:pt>
                <c:pt idx="13">
                  <c:v>0</c:v>
                </c:pt>
              </c:numCache>
            </c:numRef>
          </c:xVal>
          <c:yVal>
            <c:numRef>
              <c:f>'Granulometría 4-12,5mm'!$D$57:$D$70</c:f>
              <c:numCache>
                <c:formatCode>#,##0.0</c:formatCode>
                <c:ptCount val="14"/>
                <c:pt idx="0">
                  <c:v>5.5641017248715341E-2</c:v>
                </c:pt>
                <c:pt idx="1">
                  <c:v>5.0469675645599441</c:v>
                </c:pt>
                <c:pt idx="2">
                  <c:v>14.096815370012763</c:v>
                </c:pt>
                <c:pt idx="3">
                  <c:v>36.880175432854379</c:v>
                </c:pt>
                <c:pt idx="4">
                  <c:v>60.079206624554047</c:v>
                </c:pt>
                <c:pt idx="5">
                  <c:v>79.255719569273069</c:v>
                </c:pt>
                <c:pt idx="6">
                  <c:v>94.599548325859985</c:v>
                </c:pt>
                <c:pt idx="7">
                  <c:v>98.939547671259774</c:v>
                </c:pt>
                <c:pt idx="8">
                  <c:v>99.171930743298518</c:v>
                </c:pt>
                <c:pt idx="9">
                  <c:v>99.34212679605929</c:v>
                </c:pt>
                <c:pt idx="10">
                  <c:v>99.502503845776175</c:v>
                </c:pt>
                <c:pt idx="11">
                  <c:v>99.636696887376019</c:v>
                </c:pt>
                <c:pt idx="12">
                  <c:v>99.731613916800313</c:v>
                </c:pt>
                <c:pt idx="13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C37-473C-809D-A1514B327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817800"/>
        <c:axId val="605818128"/>
      </c:scatterChart>
      <c:valAx>
        <c:axId val="606775648"/>
        <c:scaling>
          <c:logBase val="10"/>
          <c:orientation val="minMax"/>
          <c:max val="15"/>
          <c:min val="5.000000000000001E-2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>
                    <a:solidFill>
                      <a:schemeClr val="tx1"/>
                    </a:solidFill>
                  </a:rPr>
                  <a:t>Luz tamiz (mm)</a:t>
                </a:r>
              </a:p>
            </c:rich>
          </c:tx>
          <c:layout>
            <c:manualLayout>
              <c:xMode val="edge"/>
              <c:yMode val="edge"/>
              <c:x val="0.42848847546142727"/>
              <c:y val="0.913034928152648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.0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06773352"/>
        <c:crossesAt val="0"/>
        <c:crossBetween val="midCat"/>
      </c:valAx>
      <c:valAx>
        <c:axId val="606773352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>
                    <a:solidFill>
                      <a:schemeClr val="tx1"/>
                    </a:solidFill>
                  </a:rPr>
                  <a:t>Porcentaje pasa acumulado (%)</a:t>
                </a:r>
              </a:p>
            </c:rich>
          </c:tx>
          <c:layout>
            <c:manualLayout>
              <c:xMode val="edge"/>
              <c:yMode val="edge"/>
              <c:x val="3.0555627416341824E-2"/>
              <c:y val="0.309907813683177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.00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06775648"/>
        <c:crossesAt val="1.0000000000000002E-2"/>
        <c:crossBetween val="midCat"/>
      </c:valAx>
      <c:valAx>
        <c:axId val="605818128"/>
        <c:scaling>
          <c:orientation val="maxMin"/>
          <c:max val="100"/>
          <c:min val="0"/>
        </c:scaling>
        <c:delete val="0"/>
        <c:axPos val="r"/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>
                    <a:solidFill>
                      <a:schemeClr val="tx1"/>
                    </a:solidFill>
                  </a:rPr>
                  <a:t>Porcentaje retenido acumulado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.0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05817800"/>
        <c:crosses val="max"/>
        <c:crossBetween val="midCat"/>
      </c:valAx>
      <c:valAx>
        <c:axId val="605817800"/>
        <c:scaling>
          <c:logBase val="10"/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605818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 paperSize="9" orientation="landscape" horizontalDpi="-4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Comparativa ASTM C33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'Granulometría 4-12,5mm'!$C$101</c:f>
              <c:strCache>
                <c:ptCount val="1"/>
                <c:pt idx="0">
                  <c:v>Media aritmética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'Granulometría 4-12,5mm'!$B$102:$B$115</c:f>
              <c:numCache>
                <c:formatCode>General</c:formatCode>
                <c:ptCount val="14"/>
                <c:pt idx="0">
                  <c:v>12.5</c:v>
                </c:pt>
                <c:pt idx="1">
                  <c:v>11.2</c:v>
                </c:pt>
                <c:pt idx="2">
                  <c:v>10</c:v>
                </c:pt>
                <c:pt idx="3">
                  <c:v>8</c:v>
                </c:pt>
                <c:pt idx="4">
                  <c:v>6.3</c:v>
                </c:pt>
                <c:pt idx="5">
                  <c:v>5</c:v>
                </c:pt>
                <c:pt idx="6">
                  <c:v>4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0.25</c:v>
                </c:pt>
                <c:pt idx="11">
                  <c:v>0.125</c:v>
                </c:pt>
                <c:pt idx="12">
                  <c:v>6.3E-2</c:v>
                </c:pt>
                <c:pt idx="13">
                  <c:v>0</c:v>
                </c:pt>
              </c:numCache>
            </c:numRef>
          </c:xVal>
          <c:yVal>
            <c:numRef>
              <c:f>'Granulometría 4-12,5mm'!$C$102:$C$115</c:f>
              <c:numCache>
                <c:formatCode>#,##0.0</c:formatCode>
                <c:ptCount val="14"/>
                <c:pt idx="0">
                  <c:v>99.56488488160791</c:v>
                </c:pt>
                <c:pt idx="1">
                  <c:v>94.183300791895348</c:v>
                </c:pt>
                <c:pt idx="2">
                  <c:v>85.609281376748285</c:v>
                </c:pt>
                <c:pt idx="3">
                  <c:v>63.130748521785115</c:v>
                </c:pt>
                <c:pt idx="4">
                  <c:v>37.312614792151848</c:v>
                </c:pt>
                <c:pt idx="5">
                  <c:v>19.512418349880761</c:v>
                </c:pt>
                <c:pt idx="6">
                  <c:v>4.5202089581942744</c:v>
                </c:pt>
                <c:pt idx="7">
                  <c:v>0.65131375105781331</c:v>
                </c:pt>
                <c:pt idx="8">
                  <c:v>0.50209832775996688</c:v>
                </c:pt>
                <c:pt idx="9">
                  <c:v>0.40415767854906903</c:v>
                </c:pt>
                <c:pt idx="10">
                  <c:v>0.31296119126449184</c:v>
                </c:pt>
                <c:pt idx="11">
                  <c:v>0.22384874561225843</c:v>
                </c:pt>
                <c:pt idx="12">
                  <c:v>0.16538226847396231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22-4A8B-A58A-8A7A601A40D2}"/>
            </c:ext>
          </c:extLst>
        </c:ser>
        <c:ser>
          <c:idx val="1"/>
          <c:order val="1"/>
          <c:tx>
            <c:strRef>
              <c:f>'Granulometría 4-12,5mm'!$E$100:$E$101</c:f>
              <c:strCache>
                <c:ptCount val="2"/>
                <c:pt idx="0">
                  <c:v>ASTM C33</c:v>
                </c:pt>
                <c:pt idx="1">
                  <c:v>Límite inferior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'Granulometría 4-12,5mm'!$D$102:$D$108</c:f>
              <c:numCache>
                <c:formatCode>General</c:formatCode>
                <c:ptCount val="7"/>
                <c:pt idx="0">
                  <c:v>37.5</c:v>
                </c:pt>
                <c:pt idx="1">
                  <c:v>25</c:v>
                </c:pt>
                <c:pt idx="2">
                  <c:v>19</c:v>
                </c:pt>
                <c:pt idx="3">
                  <c:v>12.5</c:v>
                </c:pt>
                <c:pt idx="4">
                  <c:v>9.5</c:v>
                </c:pt>
                <c:pt idx="5">
                  <c:v>4.75</c:v>
                </c:pt>
                <c:pt idx="6">
                  <c:v>2.63</c:v>
                </c:pt>
              </c:numCache>
            </c:numRef>
          </c:xVal>
          <c:yVal>
            <c:numRef>
              <c:f>'Granulometría 4-12,5mm'!$E$102:$E$108</c:f>
              <c:numCache>
                <c:formatCode>General</c:formatCode>
                <c:ptCount val="7"/>
                <c:pt idx="0">
                  <c:v>100</c:v>
                </c:pt>
                <c:pt idx="1">
                  <c:v>100</c:v>
                </c:pt>
                <c:pt idx="2">
                  <c:v>90</c:v>
                </c:pt>
                <c:pt idx="3">
                  <c:v>35</c:v>
                </c:pt>
                <c:pt idx="4">
                  <c:v>20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B22-4A8B-A58A-8A7A601A40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775648"/>
        <c:axId val="606773352"/>
      </c:scatterChart>
      <c:scatterChart>
        <c:scatterStyle val="smoothMarker"/>
        <c:varyColors val="0"/>
        <c:ser>
          <c:idx val="2"/>
          <c:order val="2"/>
          <c:tx>
            <c:strRef>
              <c:f>'Granulometría 4-12,5mm'!$F$100:$F$101</c:f>
              <c:strCache>
                <c:ptCount val="2"/>
                <c:pt idx="0">
                  <c:v>ASTM C33</c:v>
                </c:pt>
                <c:pt idx="1">
                  <c:v>Límite superior</c:v>
                </c:pt>
              </c:strCache>
            </c:strRef>
          </c:tx>
          <c:spPr>
            <a:ln w="9525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'Granulometría 4-12,5mm'!$D$102:$D$108</c:f>
              <c:numCache>
                <c:formatCode>General</c:formatCode>
                <c:ptCount val="7"/>
                <c:pt idx="0">
                  <c:v>37.5</c:v>
                </c:pt>
                <c:pt idx="1">
                  <c:v>25</c:v>
                </c:pt>
                <c:pt idx="2">
                  <c:v>19</c:v>
                </c:pt>
                <c:pt idx="3">
                  <c:v>12.5</c:v>
                </c:pt>
                <c:pt idx="4">
                  <c:v>9.5</c:v>
                </c:pt>
                <c:pt idx="5">
                  <c:v>4.75</c:v>
                </c:pt>
                <c:pt idx="6">
                  <c:v>2.63</c:v>
                </c:pt>
              </c:numCache>
            </c:numRef>
          </c:xVal>
          <c:yVal>
            <c:numRef>
              <c:f>'Granulometría 4-12,5mm'!$F$110:$F$116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20</c:v>
                </c:pt>
                <c:pt idx="4">
                  <c:v>45</c:v>
                </c:pt>
                <c:pt idx="5">
                  <c:v>90</c:v>
                </c:pt>
                <c:pt idx="6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B22-4A8B-A58A-8A7A601A40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0043832"/>
        <c:axId val="610045144"/>
      </c:scatterChart>
      <c:valAx>
        <c:axId val="606775648"/>
        <c:scaling>
          <c:logBase val="10"/>
          <c:orientation val="minMax"/>
          <c:max val="40"/>
          <c:min val="4.0000000000000008E-2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>
                    <a:solidFill>
                      <a:schemeClr val="tx1"/>
                    </a:solidFill>
                  </a:rPr>
                  <a:t>Luz tamiz (mm)</a:t>
                </a:r>
              </a:p>
            </c:rich>
          </c:tx>
          <c:layout>
            <c:manualLayout>
              <c:xMode val="edge"/>
              <c:yMode val="edge"/>
              <c:x val="0.42848847546142727"/>
              <c:y val="0.913034928152648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.0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06773352"/>
        <c:crossesAt val="0"/>
        <c:crossBetween val="midCat"/>
      </c:valAx>
      <c:valAx>
        <c:axId val="606773352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>
                    <a:solidFill>
                      <a:schemeClr val="tx1"/>
                    </a:solidFill>
                  </a:rPr>
                  <a:t>Porcentaje pasa acumulado (%)</a:t>
                </a:r>
              </a:p>
            </c:rich>
          </c:tx>
          <c:layout>
            <c:manualLayout>
              <c:xMode val="edge"/>
              <c:yMode val="edge"/>
              <c:x val="3.0555627416341824E-2"/>
              <c:y val="0.309907813683177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.0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06775648"/>
        <c:crossesAt val="1.0000000000000002E-2"/>
        <c:crossBetween val="midCat"/>
      </c:valAx>
      <c:valAx>
        <c:axId val="610045144"/>
        <c:scaling>
          <c:orientation val="maxMin"/>
          <c:max val="100"/>
          <c:min val="0"/>
        </c:scaling>
        <c:delete val="0"/>
        <c:axPos val="r"/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Porcentaje retenido acumulado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.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10043832"/>
        <c:crosses val="max"/>
        <c:crossBetween val="midCat"/>
      </c:valAx>
      <c:valAx>
        <c:axId val="610043832"/>
        <c:scaling>
          <c:logBase val="10"/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6100451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 paperSize="9" orientation="landscape" horizontalDpi="-4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Comparativa CURVA FULLER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'Granulometría 4-12,5mm'!$C$121</c:f>
              <c:strCache>
                <c:ptCount val="1"/>
                <c:pt idx="0">
                  <c:v>Media aritmética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'Granulometría 4-12,5mm'!$B$122:$B$135</c:f>
              <c:numCache>
                <c:formatCode>General</c:formatCode>
                <c:ptCount val="14"/>
                <c:pt idx="0">
                  <c:v>12.5</c:v>
                </c:pt>
                <c:pt idx="1">
                  <c:v>11.2</c:v>
                </c:pt>
                <c:pt idx="2">
                  <c:v>10</c:v>
                </c:pt>
                <c:pt idx="3">
                  <c:v>8</c:v>
                </c:pt>
                <c:pt idx="4">
                  <c:v>6.3</c:v>
                </c:pt>
                <c:pt idx="5">
                  <c:v>5</c:v>
                </c:pt>
                <c:pt idx="6">
                  <c:v>4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0.25</c:v>
                </c:pt>
                <c:pt idx="11">
                  <c:v>0.125</c:v>
                </c:pt>
                <c:pt idx="12">
                  <c:v>6.3E-2</c:v>
                </c:pt>
                <c:pt idx="13">
                  <c:v>0</c:v>
                </c:pt>
              </c:numCache>
            </c:numRef>
          </c:xVal>
          <c:yVal>
            <c:numRef>
              <c:f>'Granulometría 4-12,5mm'!$C$122:$C$135</c:f>
              <c:numCache>
                <c:formatCode>#,##0.0</c:formatCode>
                <c:ptCount val="14"/>
                <c:pt idx="0">
                  <c:v>99.56488488160791</c:v>
                </c:pt>
                <c:pt idx="1">
                  <c:v>94.183300791895348</c:v>
                </c:pt>
                <c:pt idx="2">
                  <c:v>85.609281376748285</c:v>
                </c:pt>
                <c:pt idx="3">
                  <c:v>63.130748521785115</c:v>
                </c:pt>
                <c:pt idx="4">
                  <c:v>37.312614792151848</c:v>
                </c:pt>
                <c:pt idx="5">
                  <c:v>19.512418349880761</c:v>
                </c:pt>
                <c:pt idx="6">
                  <c:v>4.5202089581942744</c:v>
                </c:pt>
                <c:pt idx="7">
                  <c:v>0.65131375105781331</c:v>
                </c:pt>
                <c:pt idx="8">
                  <c:v>0.50209832775996688</c:v>
                </c:pt>
                <c:pt idx="9">
                  <c:v>0.40415767854906903</c:v>
                </c:pt>
                <c:pt idx="10">
                  <c:v>0.31296119126449184</c:v>
                </c:pt>
                <c:pt idx="11">
                  <c:v>0.22384874561225843</c:v>
                </c:pt>
                <c:pt idx="12">
                  <c:v>0.16538226847396231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B1-4C3C-B2AD-004DA5D7C8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775648"/>
        <c:axId val="606773352"/>
      </c:scatterChart>
      <c:scatterChart>
        <c:scatterStyle val="smoothMarker"/>
        <c:varyColors val="0"/>
        <c:ser>
          <c:idx val="1"/>
          <c:order val="1"/>
          <c:tx>
            <c:strRef>
              <c:f>'Granulometría 4-12,5mm'!$D$120</c:f>
              <c:strCache>
                <c:ptCount val="1"/>
                <c:pt idx="0">
                  <c:v>Curva FULLER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'Granulometría 4-12,5mm'!$B$122:$B$135</c:f>
              <c:numCache>
                <c:formatCode>General</c:formatCode>
                <c:ptCount val="14"/>
                <c:pt idx="0">
                  <c:v>12.5</c:v>
                </c:pt>
                <c:pt idx="1">
                  <c:v>11.2</c:v>
                </c:pt>
                <c:pt idx="2">
                  <c:v>10</c:v>
                </c:pt>
                <c:pt idx="3">
                  <c:v>8</c:v>
                </c:pt>
                <c:pt idx="4">
                  <c:v>6.3</c:v>
                </c:pt>
                <c:pt idx="5">
                  <c:v>5</c:v>
                </c:pt>
                <c:pt idx="6">
                  <c:v>4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0.25</c:v>
                </c:pt>
                <c:pt idx="11">
                  <c:v>0.125</c:v>
                </c:pt>
                <c:pt idx="12">
                  <c:v>6.3E-2</c:v>
                </c:pt>
                <c:pt idx="13">
                  <c:v>0</c:v>
                </c:pt>
              </c:numCache>
            </c:numRef>
          </c:xVal>
          <c:yVal>
            <c:numRef>
              <c:f>'Granulometría 4-12,5mm'!$E$122:$E$135</c:f>
              <c:numCache>
                <c:formatCode>0.00</c:formatCode>
                <c:ptCount val="14"/>
                <c:pt idx="0">
                  <c:v>-5.6442818410645827</c:v>
                </c:pt>
                <c:pt idx="1">
                  <c:v>0</c:v>
                </c:pt>
                <c:pt idx="2">
                  <c:v>5.5088817476931951</c:v>
                </c:pt>
                <c:pt idx="3">
                  <c:v>15.484574527148339</c:v>
                </c:pt>
                <c:pt idx="4">
                  <c:v>25</c:v>
                </c:pt>
                <c:pt idx="5">
                  <c:v>33.184689521893901</c:v>
                </c:pt>
                <c:pt idx="6">
                  <c:v>40.238569533280319</c:v>
                </c:pt>
                <c:pt idx="7">
                  <c:v>57.74228726357417</c:v>
                </c:pt>
                <c:pt idx="8">
                  <c:v>70.119284766640163</c:v>
                </c:pt>
                <c:pt idx="9">
                  <c:v>78.871143631787078</c:v>
                </c:pt>
                <c:pt idx="10">
                  <c:v>85.059642383320082</c:v>
                </c:pt>
                <c:pt idx="11">
                  <c:v>89.435571815893539</c:v>
                </c:pt>
                <c:pt idx="12">
                  <c:v>92.5</c:v>
                </c:pt>
                <c:pt idx="13">
                  <c:v>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5B1-4C3C-B2AD-004DA5D7C8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5429656"/>
        <c:axId val="615425064"/>
      </c:scatterChart>
      <c:valAx>
        <c:axId val="606775648"/>
        <c:scaling>
          <c:logBase val="10"/>
          <c:orientation val="minMax"/>
          <c:max val="15"/>
          <c:min val="5.000000000000001E-2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>
                    <a:solidFill>
                      <a:schemeClr val="tx1"/>
                    </a:solidFill>
                  </a:rPr>
                  <a:t>Luz tamiz (mm)</a:t>
                </a:r>
              </a:p>
            </c:rich>
          </c:tx>
          <c:layout>
            <c:manualLayout>
              <c:xMode val="edge"/>
              <c:yMode val="edge"/>
              <c:x val="0.42848847546142727"/>
              <c:y val="0.913034928152648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.0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06773352"/>
        <c:crossesAt val="0"/>
        <c:crossBetween val="midCat"/>
      </c:valAx>
      <c:valAx>
        <c:axId val="606773352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>
                    <a:solidFill>
                      <a:schemeClr val="tx1"/>
                    </a:solidFill>
                  </a:rPr>
                  <a:t>Porcentaje pasa acumulado (%)</a:t>
                </a:r>
              </a:p>
            </c:rich>
          </c:tx>
          <c:layout>
            <c:manualLayout>
              <c:xMode val="edge"/>
              <c:yMode val="edge"/>
              <c:x val="3.0555627416341824E-2"/>
              <c:y val="0.309907813683177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.0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06775648"/>
        <c:crossesAt val="1.0000000000000002E-2"/>
        <c:crossBetween val="midCat"/>
      </c:valAx>
      <c:valAx>
        <c:axId val="615425064"/>
        <c:scaling>
          <c:orientation val="maxMin"/>
          <c:min val="0"/>
        </c:scaling>
        <c:delete val="0"/>
        <c:axPos val="r"/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Porcentaje retenido acumulado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.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15429656"/>
        <c:crosses val="max"/>
        <c:crossBetween val="midCat"/>
      </c:valAx>
      <c:valAx>
        <c:axId val="615429656"/>
        <c:scaling>
          <c:logBase val="10"/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615425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 paperSize="9" orientation="landscape" horizontalDpi="-4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GRANULOMETRIC CURVE: COARSE RCA (4/12,5 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'Granulometría 4-12,5mm'!$F$56</c:f>
              <c:strCache>
                <c:ptCount val="1"/>
                <c:pt idx="0">
                  <c:v>Media aritmética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'Granulometría 4-12,5mm'!$B$57:$B$70</c:f>
              <c:numCache>
                <c:formatCode>General</c:formatCode>
                <c:ptCount val="14"/>
                <c:pt idx="0">
                  <c:v>12.5</c:v>
                </c:pt>
                <c:pt idx="1">
                  <c:v>11.2</c:v>
                </c:pt>
                <c:pt idx="2">
                  <c:v>10</c:v>
                </c:pt>
                <c:pt idx="3">
                  <c:v>8</c:v>
                </c:pt>
                <c:pt idx="4">
                  <c:v>6.3</c:v>
                </c:pt>
                <c:pt idx="5">
                  <c:v>5</c:v>
                </c:pt>
                <c:pt idx="6">
                  <c:v>4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0.25</c:v>
                </c:pt>
                <c:pt idx="11">
                  <c:v>0.125</c:v>
                </c:pt>
                <c:pt idx="12">
                  <c:v>6.3E-2</c:v>
                </c:pt>
                <c:pt idx="13">
                  <c:v>0</c:v>
                </c:pt>
              </c:numCache>
            </c:numRef>
          </c:xVal>
          <c:yVal>
            <c:numRef>
              <c:f>'Granulometría 4-12,5mm'!$F$57:$F$70</c:f>
              <c:numCache>
                <c:formatCode>#,##0.00</c:formatCode>
                <c:ptCount val="14"/>
                <c:pt idx="0">
                  <c:v>99.56488488160791</c:v>
                </c:pt>
                <c:pt idx="1">
                  <c:v>94.183300791895348</c:v>
                </c:pt>
                <c:pt idx="2">
                  <c:v>85.609281376748285</c:v>
                </c:pt>
                <c:pt idx="3">
                  <c:v>63.130748521785115</c:v>
                </c:pt>
                <c:pt idx="4">
                  <c:v>37.312614792151848</c:v>
                </c:pt>
                <c:pt idx="5">
                  <c:v>19.512418349880761</c:v>
                </c:pt>
                <c:pt idx="6">
                  <c:v>4.5202089581942744</c:v>
                </c:pt>
                <c:pt idx="7">
                  <c:v>0.65131375105781331</c:v>
                </c:pt>
                <c:pt idx="8">
                  <c:v>0.50209832775996688</c:v>
                </c:pt>
                <c:pt idx="9">
                  <c:v>0.40415767854906903</c:v>
                </c:pt>
                <c:pt idx="10">
                  <c:v>0.31296119126449184</c:v>
                </c:pt>
                <c:pt idx="11">
                  <c:v>0.22384874561225843</c:v>
                </c:pt>
                <c:pt idx="12">
                  <c:v>0.16538226847396231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C6-40B9-98D4-447F2AF014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775648"/>
        <c:axId val="606773352"/>
      </c:scatterChart>
      <c:scatterChart>
        <c:scatterStyle val="smoothMarker"/>
        <c:varyColors val="0"/>
        <c:ser>
          <c:idx val="1"/>
          <c:order val="1"/>
          <c:tx>
            <c:strRef>
              <c:f>'Granulometría 4-12,5mm'!$C$56</c:f>
              <c:strCache>
                <c:ptCount val="1"/>
                <c:pt idx="0">
                  <c:v>Muestra 1</c:v>
                </c:pt>
              </c:strCache>
            </c:strRef>
          </c:tx>
          <c:spPr>
            <a:ln w="9525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'Granulometría 4-12,5mm'!$B$57:$B$70</c:f>
              <c:numCache>
                <c:formatCode>General</c:formatCode>
                <c:ptCount val="14"/>
                <c:pt idx="0">
                  <c:v>12.5</c:v>
                </c:pt>
                <c:pt idx="1">
                  <c:v>11.2</c:v>
                </c:pt>
                <c:pt idx="2">
                  <c:v>10</c:v>
                </c:pt>
                <c:pt idx="3">
                  <c:v>8</c:v>
                </c:pt>
                <c:pt idx="4">
                  <c:v>6.3</c:v>
                </c:pt>
                <c:pt idx="5">
                  <c:v>5</c:v>
                </c:pt>
                <c:pt idx="6">
                  <c:v>4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0.25</c:v>
                </c:pt>
                <c:pt idx="11">
                  <c:v>0.125</c:v>
                </c:pt>
                <c:pt idx="12">
                  <c:v>6.3E-2</c:v>
                </c:pt>
                <c:pt idx="13">
                  <c:v>0</c:v>
                </c:pt>
              </c:numCache>
            </c:numRef>
          </c:xVal>
          <c:yVal>
            <c:numRef>
              <c:f>'Granulometría 4-12,5mm'!$C$57:$C$70</c:f>
              <c:numCache>
                <c:formatCode>#,##0.0</c:formatCode>
                <c:ptCount val="14"/>
                <c:pt idx="0">
                  <c:v>0.81458921953546404</c:v>
                </c:pt>
                <c:pt idx="1">
                  <c:v>6.5864308516493608</c:v>
                </c:pt>
                <c:pt idx="2">
                  <c:v>14.684621876490663</c:v>
                </c:pt>
                <c:pt idx="3">
                  <c:v>36.85832752357539</c:v>
                </c:pt>
                <c:pt idx="4">
                  <c:v>65.295563791142257</c:v>
                </c:pt>
                <c:pt idx="5">
                  <c:v>81.719443730965395</c:v>
                </c:pt>
                <c:pt idx="6">
                  <c:v>96.360033757751452</c:v>
                </c:pt>
                <c:pt idx="7">
                  <c:v>99.757824826624599</c:v>
                </c:pt>
                <c:pt idx="8">
                  <c:v>99.823872601181534</c:v>
                </c:pt>
                <c:pt idx="9">
                  <c:v>99.849557846842558</c:v>
                </c:pt>
                <c:pt idx="10">
                  <c:v>99.871573771694855</c:v>
                </c:pt>
                <c:pt idx="11">
                  <c:v>99.915605621399479</c:v>
                </c:pt>
                <c:pt idx="12">
                  <c:v>99.937621546251776</c:v>
                </c:pt>
                <c:pt idx="13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9C6-40B9-98D4-447F2AF0145B}"/>
            </c:ext>
          </c:extLst>
        </c:ser>
        <c:ser>
          <c:idx val="2"/>
          <c:order val="2"/>
          <c:tx>
            <c:strRef>
              <c:f>'Granulometría 4-12,5mm'!$D$56</c:f>
              <c:strCache>
                <c:ptCount val="1"/>
                <c:pt idx="0">
                  <c:v>Muestra 2</c:v>
                </c:pt>
              </c:strCache>
            </c:strRef>
          </c:tx>
          <c:spPr>
            <a:ln w="9525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3175">
                <a:noFill/>
              </a:ln>
              <a:effectLst/>
            </c:spPr>
          </c:marker>
          <c:xVal>
            <c:numRef>
              <c:f>'Granulometría 4-12,5mm'!$B$57:$B$70</c:f>
              <c:numCache>
                <c:formatCode>General</c:formatCode>
                <c:ptCount val="14"/>
                <c:pt idx="0">
                  <c:v>12.5</c:v>
                </c:pt>
                <c:pt idx="1">
                  <c:v>11.2</c:v>
                </c:pt>
                <c:pt idx="2">
                  <c:v>10</c:v>
                </c:pt>
                <c:pt idx="3">
                  <c:v>8</c:v>
                </c:pt>
                <c:pt idx="4">
                  <c:v>6.3</c:v>
                </c:pt>
                <c:pt idx="5">
                  <c:v>5</c:v>
                </c:pt>
                <c:pt idx="6">
                  <c:v>4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0.25</c:v>
                </c:pt>
                <c:pt idx="11">
                  <c:v>0.125</c:v>
                </c:pt>
                <c:pt idx="12">
                  <c:v>6.3E-2</c:v>
                </c:pt>
                <c:pt idx="13">
                  <c:v>0</c:v>
                </c:pt>
              </c:numCache>
            </c:numRef>
          </c:xVal>
          <c:yVal>
            <c:numRef>
              <c:f>'Granulometría 4-12,5mm'!$D$57:$D$70</c:f>
              <c:numCache>
                <c:formatCode>#,##0.0</c:formatCode>
                <c:ptCount val="14"/>
                <c:pt idx="0">
                  <c:v>5.5641017248715341E-2</c:v>
                </c:pt>
                <c:pt idx="1">
                  <c:v>5.0469675645599441</c:v>
                </c:pt>
                <c:pt idx="2">
                  <c:v>14.096815370012763</c:v>
                </c:pt>
                <c:pt idx="3">
                  <c:v>36.880175432854379</c:v>
                </c:pt>
                <c:pt idx="4">
                  <c:v>60.079206624554047</c:v>
                </c:pt>
                <c:pt idx="5">
                  <c:v>79.255719569273069</c:v>
                </c:pt>
                <c:pt idx="6">
                  <c:v>94.599548325859985</c:v>
                </c:pt>
                <c:pt idx="7">
                  <c:v>98.939547671259774</c:v>
                </c:pt>
                <c:pt idx="8">
                  <c:v>99.171930743298518</c:v>
                </c:pt>
                <c:pt idx="9">
                  <c:v>99.34212679605929</c:v>
                </c:pt>
                <c:pt idx="10">
                  <c:v>99.502503845776175</c:v>
                </c:pt>
                <c:pt idx="11">
                  <c:v>99.636696887376019</c:v>
                </c:pt>
                <c:pt idx="12">
                  <c:v>99.731613916800313</c:v>
                </c:pt>
                <c:pt idx="13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9C6-40B9-98D4-447F2AF014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817800"/>
        <c:axId val="605818128"/>
      </c:scatterChart>
      <c:valAx>
        <c:axId val="606775648"/>
        <c:scaling>
          <c:logBase val="10"/>
          <c:orientation val="minMax"/>
          <c:max val="15"/>
          <c:min val="1.0000000000000002E-2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>
                    <a:solidFill>
                      <a:schemeClr val="tx1"/>
                    </a:solidFill>
                  </a:rPr>
                  <a:t>Sieve size (mm)</a:t>
                </a:r>
              </a:p>
            </c:rich>
          </c:tx>
          <c:layout>
            <c:manualLayout>
              <c:xMode val="edge"/>
              <c:yMode val="edge"/>
              <c:x val="0.42848847546142727"/>
              <c:y val="0.913034928152648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.0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06773352"/>
        <c:crossesAt val="0"/>
        <c:crossBetween val="midCat"/>
      </c:valAx>
      <c:valAx>
        <c:axId val="606773352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>
                    <a:solidFill>
                      <a:schemeClr val="tx1"/>
                    </a:solidFill>
                  </a:rPr>
                  <a:t>Passing percentage (%)</a:t>
                </a:r>
              </a:p>
            </c:rich>
          </c:tx>
          <c:layout>
            <c:manualLayout>
              <c:xMode val="edge"/>
              <c:yMode val="edge"/>
              <c:x val="3.0555627416341824E-2"/>
              <c:y val="0.309907813683177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.00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06775648"/>
        <c:crossesAt val="1.0000000000000002E-2"/>
        <c:crossBetween val="midCat"/>
      </c:valAx>
      <c:valAx>
        <c:axId val="605818128"/>
        <c:scaling>
          <c:orientation val="maxMin"/>
          <c:max val="100"/>
          <c:min val="0"/>
        </c:scaling>
        <c:delete val="0"/>
        <c:axPos val="r"/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Accumulated</a:t>
                </a:r>
                <a:r>
                  <a:rPr lang="en-US" baseline="0">
                    <a:solidFill>
                      <a:schemeClr val="tx1"/>
                    </a:solidFill>
                  </a:rPr>
                  <a:t> percentege (%)</a:t>
                </a:r>
                <a:endParaRPr lang="en-US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.0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05817800"/>
        <c:crosses val="max"/>
        <c:crossBetween val="midCat"/>
      </c:valAx>
      <c:valAx>
        <c:axId val="605817800"/>
        <c:scaling>
          <c:logBase val="10"/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605818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 paperSize="9" orientation="landscape" horizontalDpi="-4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Granulometría continua (fracción 0/4 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'Granulometría 0-4 mm'!$F$44</c:f>
              <c:strCache>
                <c:ptCount val="1"/>
                <c:pt idx="0">
                  <c:v>Media aritmética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'Granulometría 0-4 mm'!$B$45:$B$52</c:f>
              <c:numCache>
                <c:formatCode>General</c:formatCode>
                <c:ptCount val="8"/>
                <c:pt idx="0">
                  <c:v>4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0.125</c:v>
                </c:pt>
                <c:pt idx="6">
                  <c:v>6.3E-2</c:v>
                </c:pt>
                <c:pt idx="7">
                  <c:v>0</c:v>
                </c:pt>
              </c:numCache>
            </c:numRef>
          </c:xVal>
          <c:yVal>
            <c:numRef>
              <c:f>'Granulometría 0-4 mm'!$F$45:$F$52</c:f>
              <c:numCache>
                <c:formatCode>#,##0.00</c:formatCode>
                <c:ptCount val="8"/>
                <c:pt idx="0">
                  <c:v>99.391636594282701</c:v>
                </c:pt>
                <c:pt idx="1">
                  <c:v>74.265810485298076</c:v>
                </c:pt>
                <c:pt idx="2">
                  <c:v>52.720520899047472</c:v>
                </c:pt>
                <c:pt idx="3">
                  <c:v>34.02742094999725</c:v>
                </c:pt>
                <c:pt idx="4">
                  <c:v>18.406808268349664</c:v>
                </c:pt>
                <c:pt idx="5">
                  <c:v>9.4227436758457941</c:v>
                </c:pt>
                <c:pt idx="6">
                  <c:v>4.8293022708865436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01-4245-B36C-264F14B38F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775648"/>
        <c:axId val="606773352"/>
      </c:scatterChart>
      <c:scatterChart>
        <c:scatterStyle val="smoothMarker"/>
        <c:varyColors val="0"/>
        <c:ser>
          <c:idx val="1"/>
          <c:order val="1"/>
          <c:tx>
            <c:strRef>
              <c:f>'Granulometría 0-4 mm'!$C$44</c:f>
              <c:strCache>
                <c:ptCount val="1"/>
                <c:pt idx="0">
                  <c:v>Muestra 1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'Granulometría 0-4 mm'!$B$45:$B$52</c:f>
              <c:numCache>
                <c:formatCode>General</c:formatCode>
                <c:ptCount val="8"/>
                <c:pt idx="0">
                  <c:v>4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0.125</c:v>
                </c:pt>
                <c:pt idx="6">
                  <c:v>6.3E-2</c:v>
                </c:pt>
                <c:pt idx="7">
                  <c:v>0</c:v>
                </c:pt>
              </c:numCache>
            </c:numRef>
          </c:xVal>
          <c:yVal>
            <c:numRef>
              <c:f>'Granulometría 0-4 mm'!$C$45:$C$52</c:f>
              <c:numCache>
                <c:formatCode>#,##0.0</c:formatCode>
                <c:ptCount val="8"/>
                <c:pt idx="0">
                  <c:v>0.43785786460087595</c:v>
                </c:pt>
                <c:pt idx="1">
                  <c:v>25.867295385651744</c:v>
                </c:pt>
                <c:pt idx="2">
                  <c:v>47.96227686089594</c:v>
                </c:pt>
                <c:pt idx="3">
                  <c:v>66.621758167733276</c:v>
                </c:pt>
                <c:pt idx="4">
                  <c:v>81.913102054563865</c:v>
                </c:pt>
                <c:pt idx="5">
                  <c:v>90.670259346581389</c:v>
                </c:pt>
                <c:pt idx="6">
                  <c:v>95.116200740990266</c:v>
                </c:pt>
                <c:pt idx="7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801-4245-B36C-264F14B38F58}"/>
            </c:ext>
          </c:extLst>
        </c:ser>
        <c:ser>
          <c:idx val="2"/>
          <c:order val="2"/>
          <c:tx>
            <c:strRef>
              <c:f>'Granulometría 0-4 mm'!$D$44</c:f>
              <c:strCache>
                <c:ptCount val="1"/>
                <c:pt idx="0">
                  <c:v>Muestra 2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3175">
                <a:noFill/>
              </a:ln>
              <a:effectLst/>
            </c:spPr>
          </c:marker>
          <c:xVal>
            <c:numRef>
              <c:f>'Granulometría 0-4 mm'!$B$45:$B$52</c:f>
              <c:numCache>
                <c:formatCode>General</c:formatCode>
                <c:ptCount val="8"/>
                <c:pt idx="0">
                  <c:v>4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0.125</c:v>
                </c:pt>
                <c:pt idx="6">
                  <c:v>6.3E-2</c:v>
                </c:pt>
                <c:pt idx="7">
                  <c:v>0</c:v>
                </c:pt>
              </c:numCache>
            </c:numRef>
          </c:xVal>
          <c:yVal>
            <c:numRef>
              <c:f>'Granulometría 0-4 mm'!$D$45:$D$52</c:f>
              <c:numCache>
                <c:formatCode>#,##0.0</c:formatCode>
                <c:ptCount val="8"/>
                <c:pt idx="0">
                  <c:v>0.77886894683372787</c:v>
                </c:pt>
                <c:pt idx="1">
                  <c:v>25.601083643752098</c:v>
                </c:pt>
                <c:pt idx="2">
                  <c:v>46.596681341009109</c:v>
                </c:pt>
                <c:pt idx="3">
                  <c:v>65.323399932272224</c:v>
                </c:pt>
                <c:pt idx="4">
                  <c:v>81.273281408736821</c:v>
                </c:pt>
                <c:pt idx="5">
                  <c:v>90.484253301727009</c:v>
                </c:pt>
                <c:pt idx="6">
                  <c:v>95.225194717236647</c:v>
                </c:pt>
                <c:pt idx="7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801-4245-B36C-264F14B38F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817800"/>
        <c:axId val="605818128"/>
      </c:scatterChart>
      <c:valAx>
        <c:axId val="606775648"/>
        <c:scaling>
          <c:orientation val="minMax"/>
          <c:max val="4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>
                    <a:solidFill>
                      <a:schemeClr val="tx1"/>
                    </a:solidFill>
                  </a:rPr>
                  <a:t>Luz tamiz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.0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06773352"/>
        <c:crosses val="autoZero"/>
        <c:crossBetween val="midCat"/>
        <c:majorUnit val="1"/>
      </c:valAx>
      <c:valAx>
        <c:axId val="606773352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>
                    <a:solidFill>
                      <a:schemeClr val="tx1"/>
                    </a:solidFill>
                  </a:rPr>
                  <a:t>Porcentaje pasa acumulado (%)</a:t>
                </a:r>
              </a:p>
            </c:rich>
          </c:tx>
          <c:layout>
            <c:manualLayout>
              <c:xMode val="edge"/>
              <c:yMode val="edge"/>
              <c:x val="3.0555627416341824E-2"/>
              <c:y val="0.309907813683177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.00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06775648"/>
        <c:crosses val="autoZero"/>
        <c:crossBetween val="midCat"/>
      </c:valAx>
      <c:valAx>
        <c:axId val="605818128"/>
        <c:scaling>
          <c:orientation val="maxMin"/>
          <c:max val="100"/>
          <c:min val="0"/>
        </c:scaling>
        <c:delete val="0"/>
        <c:axPos val="r"/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>
                    <a:solidFill>
                      <a:schemeClr val="tx1"/>
                    </a:solidFill>
                  </a:rPr>
                  <a:t>Porcentaje retenido acumulado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.0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05817800"/>
        <c:crosses val="max"/>
        <c:crossBetween val="midCat"/>
      </c:valAx>
      <c:valAx>
        <c:axId val="60581780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605818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 paperSize="9" orientation="landscape" horizontalDpi="-4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Granulometría continua (fracción 0/4 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'Granulometría 0-4 mm'!$F$44</c:f>
              <c:strCache>
                <c:ptCount val="1"/>
                <c:pt idx="0">
                  <c:v>Media aritmética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'Granulometría 0-4 mm'!$B$45:$B$52</c:f>
              <c:numCache>
                <c:formatCode>General</c:formatCode>
                <c:ptCount val="8"/>
                <c:pt idx="0">
                  <c:v>4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0.125</c:v>
                </c:pt>
                <c:pt idx="6">
                  <c:v>6.3E-2</c:v>
                </c:pt>
                <c:pt idx="7">
                  <c:v>0</c:v>
                </c:pt>
              </c:numCache>
            </c:numRef>
          </c:xVal>
          <c:yVal>
            <c:numRef>
              <c:f>'Granulometría 0-4 mm'!$F$45:$F$52</c:f>
              <c:numCache>
                <c:formatCode>#,##0.00</c:formatCode>
                <c:ptCount val="8"/>
                <c:pt idx="0">
                  <c:v>99.391636594282701</c:v>
                </c:pt>
                <c:pt idx="1">
                  <c:v>74.265810485298076</c:v>
                </c:pt>
                <c:pt idx="2">
                  <c:v>52.720520899047472</c:v>
                </c:pt>
                <c:pt idx="3">
                  <c:v>34.02742094999725</c:v>
                </c:pt>
                <c:pt idx="4">
                  <c:v>18.406808268349664</c:v>
                </c:pt>
                <c:pt idx="5">
                  <c:v>9.4227436758457941</c:v>
                </c:pt>
                <c:pt idx="6">
                  <c:v>4.8293022708865436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30-46A2-BE6E-27BFD31E7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775648"/>
        <c:axId val="606773352"/>
      </c:scatterChart>
      <c:scatterChart>
        <c:scatterStyle val="smoothMarker"/>
        <c:varyColors val="0"/>
        <c:ser>
          <c:idx val="1"/>
          <c:order val="1"/>
          <c:tx>
            <c:strRef>
              <c:f>'Granulometría 0-4 mm'!$C$44</c:f>
              <c:strCache>
                <c:ptCount val="1"/>
                <c:pt idx="0">
                  <c:v>Muestra 1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'Granulometría 0-4 mm'!$B$45:$B$52</c:f>
              <c:numCache>
                <c:formatCode>General</c:formatCode>
                <c:ptCount val="8"/>
                <c:pt idx="0">
                  <c:v>4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0.125</c:v>
                </c:pt>
                <c:pt idx="6">
                  <c:v>6.3E-2</c:v>
                </c:pt>
                <c:pt idx="7">
                  <c:v>0</c:v>
                </c:pt>
              </c:numCache>
            </c:numRef>
          </c:xVal>
          <c:yVal>
            <c:numRef>
              <c:f>'Granulometría 0-4 mm'!$C$45:$C$52</c:f>
              <c:numCache>
                <c:formatCode>#,##0.0</c:formatCode>
                <c:ptCount val="8"/>
                <c:pt idx="0">
                  <c:v>0.43785786460087595</c:v>
                </c:pt>
                <c:pt idx="1">
                  <c:v>25.867295385651744</c:v>
                </c:pt>
                <c:pt idx="2">
                  <c:v>47.96227686089594</c:v>
                </c:pt>
                <c:pt idx="3">
                  <c:v>66.621758167733276</c:v>
                </c:pt>
                <c:pt idx="4">
                  <c:v>81.913102054563865</c:v>
                </c:pt>
                <c:pt idx="5">
                  <c:v>90.670259346581389</c:v>
                </c:pt>
                <c:pt idx="6">
                  <c:v>95.116200740990266</c:v>
                </c:pt>
                <c:pt idx="7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830-46A2-BE6E-27BFD31E7229}"/>
            </c:ext>
          </c:extLst>
        </c:ser>
        <c:ser>
          <c:idx val="2"/>
          <c:order val="2"/>
          <c:tx>
            <c:strRef>
              <c:f>'Granulometría 0-4 mm'!$D$44</c:f>
              <c:strCache>
                <c:ptCount val="1"/>
                <c:pt idx="0">
                  <c:v>Muestra 2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3175">
                <a:noFill/>
              </a:ln>
              <a:effectLst/>
            </c:spPr>
          </c:marker>
          <c:xVal>
            <c:numRef>
              <c:f>'Granulometría 0-4 mm'!$B$45:$B$52</c:f>
              <c:numCache>
                <c:formatCode>General</c:formatCode>
                <c:ptCount val="8"/>
                <c:pt idx="0">
                  <c:v>4</c:v>
                </c:pt>
                <c:pt idx="1">
                  <c:v>2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>
                  <c:v>0.125</c:v>
                </c:pt>
                <c:pt idx="6">
                  <c:v>6.3E-2</c:v>
                </c:pt>
                <c:pt idx="7">
                  <c:v>0</c:v>
                </c:pt>
              </c:numCache>
            </c:numRef>
          </c:xVal>
          <c:yVal>
            <c:numRef>
              <c:f>'Granulometría 0-4 mm'!$D$45:$D$52</c:f>
              <c:numCache>
                <c:formatCode>#,##0.0</c:formatCode>
                <c:ptCount val="8"/>
                <c:pt idx="0">
                  <c:v>0.77886894683372787</c:v>
                </c:pt>
                <c:pt idx="1">
                  <c:v>25.601083643752098</c:v>
                </c:pt>
                <c:pt idx="2">
                  <c:v>46.596681341009109</c:v>
                </c:pt>
                <c:pt idx="3">
                  <c:v>65.323399932272224</c:v>
                </c:pt>
                <c:pt idx="4">
                  <c:v>81.273281408736821</c:v>
                </c:pt>
                <c:pt idx="5">
                  <c:v>90.484253301727009</c:v>
                </c:pt>
                <c:pt idx="6">
                  <c:v>95.225194717236647</c:v>
                </c:pt>
                <c:pt idx="7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830-46A2-BE6E-27BFD31E7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817800"/>
        <c:axId val="605818128"/>
      </c:scatterChart>
      <c:valAx>
        <c:axId val="606775648"/>
        <c:scaling>
          <c:logBase val="10"/>
          <c:orientation val="minMax"/>
          <c:max val="4"/>
          <c:min val="4.0000000000000008E-2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>
                    <a:solidFill>
                      <a:schemeClr val="tx1"/>
                    </a:solidFill>
                  </a:rPr>
                  <a:t>Luz tamiz (mm)</a:t>
                </a:r>
              </a:p>
            </c:rich>
          </c:tx>
          <c:layout>
            <c:manualLayout>
              <c:xMode val="edge"/>
              <c:yMode val="edge"/>
              <c:x val="0.42848847546142727"/>
              <c:y val="0.913034928152648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.0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06773352"/>
        <c:crossesAt val="0"/>
        <c:crossBetween val="midCat"/>
      </c:valAx>
      <c:valAx>
        <c:axId val="606773352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>
                    <a:solidFill>
                      <a:schemeClr val="tx1"/>
                    </a:solidFill>
                  </a:rPr>
                  <a:t>Porcentaje pasa acumulado (%)</a:t>
                </a:r>
              </a:p>
            </c:rich>
          </c:tx>
          <c:layout>
            <c:manualLayout>
              <c:xMode val="edge"/>
              <c:yMode val="edge"/>
              <c:x val="3.0555627416341824E-2"/>
              <c:y val="0.309907813683177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.00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06775648"/>
        <c:crossesAt val="1.0000000000000002E-2"/>
        <c:crossBetween val="midCat"/>
      </c:valAx>
      <c:valAx>
        <c:axId val="605818128"/>
        <c:scaling>
          <c:orientation val="maxMin"/>
          <c:max val="100"/>
          <c:min val="0"/>
        </c:scaling>
        <c:delete val="0"/>
        <c:axPos val="r"/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>
                    <a:solidFill>
                      <a:schemeClr val="tx1"/>
                    </a:solidFill>
                  </a:rPr>
                  <a:t>Porcentaje retenido acumulado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.0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05817800"/>
        <c:crosses val="max"/>
        <c:crossBetween val="midCat"/>
      </c:valAx>
      <c:valAx>
        <c:axId val="605817800"/>
        <c:scaling>
          <c:logBase val="10"/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605818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 paperSize="9" orientation="landscape" horizontalDpi="-4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 /><Relationship Id="rId1" Type="http://schemas.openxmlformats.org/officeDocument/2006/relationships/chart" Target="../charts/chart1.xml" 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 /><Relationship Id="rId2" Type="http://schemas.openxmlformats.org/officeDocument/2006/relationships/chart" Target="../charts/chart4.xml" /><Relationship Id="rId1" Type="http://schemas.openxmlformats.org/officeDocument/2006/relationships/chart" Target="../charts/chart3.xml" /><Relationship Id="rId5" Type="http://schemas.openxmlformats.org/officeDocument/2006/relationships/chart" Target="../charts/chart7.xml" /><Relationship Id="rId4" Type="http://schemas.openxmlformats.org/officeDocument/2006/relationships/chart" Target="../charts/chart6.xml" 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 /><Relationship Id="rId2" Type="http://schemas.openxmlformats.org/officeDocument/2006/relationships/chart" Target="../charts/chart9.xml" /><Relationship Id="rId1" Type="http://schemas.openxmlformats.org/officeDocument/2006/relationships/chart" Target="../charts/chart8.xml" /><Relationship Id="rId5" Type="http://schemas.openxmlformats.org/officeDocument/2006/relationships/chart" Target="../charts/chart12.xml" /><Relationship Id="rId4" Type="http://schemas.openxmlformats.org/officeDocument/2006/relationships/chart" Target="../charts/chart11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1135380</xdr:colOff>
      <xdr:row>21</xdr:row>
      <xdr:rowOff>38100</xdr:rowOff>
    </xdr:from>
    <xdr:to>
      <xdr:col>7</xdr:col>
      <xdr:colOff>822960</xdr:colOff>
      <xdr:row>22</xdr:row>
      <xdr:rowOff>130483</xdr:rowOff>
    </xdr:to>
    <xdr:sp macro="" textlink="">
      <xdr:nvSpPr>
        <xdr:cNvPr id="3" name="Forma libre: forma 2">
          <a:extLst>
            <a:ext uri="{FF2B5EF4-FFF2-40B4-BE49-F238E27FC236}">
              <a16:creationId xmlns:a16="http://schemas.microsoft.com/office/drawing/2014/main" id="{6CCE73CA-2999-412F-8D45-8594DCFEC791}"/>
            </a:ext>
          </a:extLst>
        </xdr:cNvPr>
        <xdr:cNvSpPr/>
      </xdr:nvSpPr>
      <xdr:spPr>
        <a:xfrm>
          <a:off x="8633460" y="3962400"/>
          <a:ext cx="1821180" cy="275263"/>
        </a:xfrm>
        <a:custGeom>
          <a:avLst/>
          <a:gdLst>
            <a:gd name="connsiteX0" fmla="*/ 1821180 w 1821180"/>
            <a:gd name="connsiteY0" fmla="*/ 0 h 275263"/>
            <a:gd name="connsiteX1" fmla="*/ 1455420 w 1821180"/>
            <a:gd name="connsiteY1" fmla="*/ 220980 h 275263"/>
            <a:gd name="connsiteX2" fmla="*/ 320040 w 1821180"/>
            <a:gd name="connsiteY2" fmla="*/ 259080 h 275263"/>
            <a:gd name="connsiteX3" fmla="*/ 0 w 1821180"/>
            <a:gd name="connsiteY3" fmla="*/ 0 h 27526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1821180" h="275263">
              <a:moveTo>
                <a:pt x="1821180" y="0"/>
              </a:moveTo>
              <a:cubicBezTo>
                <a:pt x="1763395" y="88900"/>
                <a:pt x="1705610" y="177800"/>
                <a:pt x="1455420" y="220980"/>
              </a:cubicBezTo>
              <a:cubicBezTo>
                <a:pt x="1205230" y="264160"/>
                <a:pt x="562610" y="295910"/>
                <a:pt x="320040" y="259080"/>
              </a:cubicBezTo>
              <a:cubicBezTo>
                <a:pt x="77470" y="222250"/>
                <a:pt x="38735" y="111125"/>
                <a:pt x="0" y="0"/>
              </a:cubicBezTo>
            </a:path>
          </a:pathLst>
        </a:custGeom>
        <a:noFill/>
        <a:ln>
          <a:headEnd type="none"/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6</xdr:col>
      <xdr:colOff>1135380</xdr:colOff>
      <xdr:row>46</xdr:row>
      <xdr:rowOff>38100</xdr:rowOff>
    </xdr:from>
    <xdr:to>
      <xdr:col>7</xdr:col>
      <xdr:colOff>822960</xdr:colOff>
      <xdr:row>47</xdr:row>
      <xdr:rowOff>130483</xdr:rowOff>
    </xdr:to>
    <xdr:sp macro="" textlink="">
      <xdr:nvSpPr>
        <xdr:cNvPr id="5" name="Forma libre: forma 4">
          <a:extLst>
            <a:ext uri="{FF2B5EF4-FFF2-40B4-BE49-F238E27FC236}">
              <a16:creationId xmlns:a16="http://schemas.microsoft.com/office/drawing/2014/main" id="{2882466D-2088-4867-816C-4219B2BDA197}"/>
            </a:ext>
          </a:extLst>
        </xdr:cNvPr>
        <xdr:cNvSpPr/>
      </xdr:nvSpPr>
      <xdr:spPr>
        <a:xfrm>
          <a:off x="8633460" y="3977640"/>
          <a:ext cx="1821180" cy="275263"/>
        </a:xfrm>
        <a:custGeom>
          <a:avLst/>
          <a:gdLst>
            <a:gd name="connsiteX0" fmla="*/ 1821180 w 1821180"/>
            <a:gd name="connsiteY0" fmla="*/ 0 h 275263"/>
            <a:gd name="connsiteX1" fmla="*/ 1455420 w 1821180"/>
            <a:gd name="connsiteY1" fmla="*/ 220980 h 275263"/>
            <a:gd name="connsiteX2" fmla="*/ 320040 w 1821180"/>
            <a:gd name="connsiteY2" fmla="*/ 259080 h 275263"/>
            <a:gd name="connsiteX3" fmla="*/ 0 w 1821180"/>
            <a:gd name="connsiteY3" fmla="*/ 0 h 27526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1821180" h="275263">
              <a:moveTo>
                <a:pt x="1821180" y="0"/>
              </a:moveTo>
              <a:cubicBezTo>
                <a:pt x="1763395" y="88900"/>
                <a:pt x="1705610" y="177800"/>
                <a:pt x="1455420" y="220980"/>
              </a:cubicBezTo>
              <a:cubicBezTo>
                <a:pt x="1205230" y="264160"/>
                <a:pt x="562610" y="295910"/>
                <a:pt x="320040" y="259080"/>
              </a:cubicBezTo>
              <a:cubicBezTo>
                <a:pt x="77470" y="222250"/>
                <a:pt x="38735" y="111125"/>
                <a:pt x="0" y="0"/>
              </a:cubicBezTo>
            </a:path>
          </a:pathLst>
        </a:custGeom>
        <a:noFill/>
        <a:ln>
          <a:headEnd type="none"/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4</xdr:col>
      <xdr:colOff>1295400</xdr:colOff>
      <xdr:row>46</xdr:row>
      <xdr:rowOff>60960</xdr:rowOff>
    </xdr:from>
    <xdr:to>
      <xdr:col>5</xdr:col>
      <xdr:colOff>906780</xdr:colOff>
      <xdr:row>47</xdr:row>
      <xdr:rowOff>138103</xdr:rowOff>
    </xdr:to>
    <xdr:sp macro="" textlink="">
      <xdr:nvSpPr>
        <xdr:cNvPr id="6" name="Forma libre: forma 5">
          <a:extLst>
            <a:ext uri="{FF2B5EF4-FFF2-40B4-BE49-F238E27FC236}">
              <a16:creationId xmlns:a16="http://schemas.microsoft.com/office/drawing/2014/main" id="{F460285E-F043-408B-BFE9-AFF6159A9EB7}"/>
            </a:ext>
          </a:extLst>
        </xdr:cNvPr>
        <xdr:cNvSpPr/>
      </xdr:nvSpPr>
      <xdr:spPr>
        <a:xfrm>
          <a:off x="8458200" y="8671560"/>
          <a:ext cx="2202180" cy="260023"/>
        </a:xfrm>
        <a:custGeom>
          <a:avLst/>
          <a:gdLst>
            <a:gd name="connsiteX0" fmla="*/ 1821180 w 1821180"/>
            <a:gd name="connsiteY0" fmla="*/ 0 h 275263"/>
            <a:gd name="connsiteX1" fmla="*/ 1455420 w 1821180"/>
            <a:gd name="connsiteY1" fmla="*/ 220980 h 275263"/>
            <a:gd name="connsiteX2" fmla="*/ 320040 w 1821180"/>
            <a:gd name="connsiteY2" fmla="*/ 259080 h 275263"/>
            <a:gd name="connsiteX3" fmla="*/ 0 w 1821180"/>
            <a:gd name="connsiteY3" fmla="*/ 0 h 27526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1821180" h="275263">
              <a:moveTo>
                <a:pt x="1821180" y="0"/>
              </a:moveTo>
              <a:cubicBezTo>
                <a:pt x="1763395" y="88900"/>
                <a:pt x="1705610" y="177800"/>
                <a:pt x="1455420" y="220980"/>
              </a:cubicBezTo>
              <a:cubicBezTo>
                <a:pt x="1205230" y="264160"/>
                <a:pt x="562610" y="295910"/>
                <a:pt x="320040" y="259080"/>
              </a:cubicBezTo>
              <a:cubicBezTo>
                <a:pt x="77470" y="222250"/>
                <a:pt x="38735" y="111125"/>
                <a:pt x="0" y="0"/>
              </a:cubicBezTo>
            </a:path>
          </a:pathLst>
        </a:custGeom>
        <a:noFill/>
        <a:ln>
          <a:headEnd type="none"/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6</xdr:col>
      <xdr:colOff>1135380</xdr:colOff>
      <xdr:row>46</xdr:row>
      <xdr:rowOff>38100</xdr:rowOff>
    </xdr:from>
    <xdr:to>
      <xdr:col>7</xdr:col>
      <xdr:colOff>822960</xdr:colOff>
      <xdr:row>47</xdr:row>
      <xdr:rowOff>130483</xdr:rowOff>
    </xdr:to>
    <xdr:sp macro="" textlink="">
      <xdr:nvSpPr>
        <xdr:cNvPr id="7" name="Forma libre: forma 6">
          <a:extLst>
            <a:ext uri="{FF2B5EF4-FFF2-40B4-BE49-F238E27FC236}">
              <a16:creationId xmlns:a16="http://schemas.microsoft.com/office/drawing/2014/main" id="{EF03DB4D-6D54-4750-B596-1EC491A8178D}"/>
            </a:ext>
          </a:extLst>
        </xdr:cNvPr>
        <xdr:cNvSpPr/>
      </xdr:nvSpPr>
      <xdr:spPr>
        <a:xfrm>
          <a:off x="8633460" y="3977640"/>
          <a:ext cx="1821180" cy="275263"/>
        </a:xfrm>
        <a:custGeom>
          <a:avLst/>
          <a:gdLst>
            <a:gd name="connsiteX0" fmla="*/ 1821180 w 1821180"/>
            <a:gd name="connsiteY0" fmla="*/ 0 h 275263"/>
            <a:gd name="connsiteX1" fmla="*/ 1455420 w 1821180"/>
            <a:gd name="connsiteY1" fmla="*/ 220980 h 275263"/>
            <a:gd name="connsiteX2" fmla="*/ 320040 w 1821180"/>
            <a:gd name="connsiteY2" fmla="*/ 259080 h 275263"/>
            <a:gd name="connsiteX3" fmla="*/ 0 w 1821180"/>
            <a:gd name="connsiteY3" fmla="*/ 0 h 27526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1821180" h="275263">
              <a:moveTo>
                <a:pt x="1821180" y="0"/>
              </a:moveTo>
              <a:cubicBezTo>
                <a:pt x="1763395" y="88900"/>
                <a:pt x="1705610" y="177800"/>
                <a:pt x="1455420" y="220980"/>
              </a:cubicBezTo>
              <a:cubicBezTo>
                <a:pt x="1205230" y="264160"/>
                <a:pt x="562610" y="295910"/>
                <a:pt x="320040" y="259080"/>
              </a:cubicBezTo>
              <a:cubicBezTo>
                <a:pt x="77470" y="222250"/>
                <a:pt x="38735" y="111125"/>
                <a:pt x="0" y="0"/>
              </a:cubicBezTo>
            </a:path>
          </a:pathLst>
        </a:custGeom>
        <a:noFill/>
        <a:ln>
          <a:headEnd type="none"/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4</xdr:col>
      <xdr:colOff>1280160</xdr:colOff>
      <xdr:row>21</xdr:row>
      <xdr:rowOff>53340</xdr:rowOff>
    </xdr:from>
    <xdr:to>
      <xdr:col>5</xdr:col>
      <xdr:colOff>906780</xdr:colOff>
      <xdr:row>22</xdr:row>
      <xdr:rowOff>138103</xdr:rowOff>
    </xdr:to>
    <xdr:sp macro="" textlink="">
      <xdr:nvSpPr>
        <xdr:cNvPr id="14" name="Forma libre: forma 13">
          <a:extLst>
            <a:ext uri="{FF2B5EF4-FFF2-40B4-BE49-F238E27FC236}">
              <a16:creationId xmlns:a16="http://schemas.microsoft.com/office/drawing/2014/main" id="{2856E4D0-D5F0-4A8F-85D9-03E032A10057}"/>
            </a:ext>
          </a:extLst>
        </xdr:cNvPr>
        <xdr:cNvSpPr/>
      </xdr:nvSpPr>
      <xdr:spPr>
        <a:xfrm>
          <a:off x="8442960" y="3992880"/>
          <a:ext cx="2217420" cy="267643"/>
        </a:xfrm>
        <a:custGeom>
          <a:avLst/>
          <a:gdLst>
            <a:gd name="connsiteX0" fmla="*/ 1821180 w 1821180"/>
            <a:gd name="connsiteY0" fmla="*/ 0 h 275263"/>
            <a:gd name="connsiteX1" fmla="*/ 1455420 w 1821180"/>
            <a:gd name="connsiteY1" fmla="*/ 220980 h 275263"/>
            <a:gd name="connsiteX2" fmla="*/ 320040 w 1821180"/>
            <a:gd name="connsiteY2" fmla="*/ 259080 h 275263"/>
            <a:gd name="connsiteX3" fmla="*/ 0 w 1821180"/>
            <a:gd name="connsiteY3" fmla="*/ 0 h 27526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1821180" h="275263">
              <a:moveTo>
                <a:pt x="1821180" y="0"/>
              </a:moveTo>
              <a:cubicBezTo>
                <a:pt x="1763395" y="88900"/>
                <a:pt x="1705610" y="177800"/>
                <a:pt x="1455420" y="220980"/>
              </a:cubicBezTo>
              <a:cubicBezTo>
                <a:pt x="1205230" y="264160"/>
                <a:pt x="562610" y="295910"/>
                <a:pt x="320040" y="259080"/>
              </a:cubicBezTo>
              <a:cubicBezTo>
                <a:pt x="77470" y="222250"/>
                <a:pt x="38735" y="111125"/>
                <a:pt x="0" y="0"/>
              </a:cubicBezTo>
            </a:path>
          </a:pathLst>
        </a:custGeom>
        <a:noFill/>
        <a:ln>
          <a:headEnd type="none"/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6</xdr:col>
      <xdr:colOff>1135380</xdr:colOff>
      <xdr:row>21</xdr:row>
      <xdr:rowOff>38100</xdr:rowOff>
    </xdr:from>
    <xdr:to>
      <xdr:col>7</xdr:col>
      <xdr:colOff>822960</xdr:colOff>
      <xdr:row>22</xdr:row>
      <xdr:rowOff>130483</xdr:rowOff>
    </xdr:to>
    <xdr:sp macro="" textlink="">
      <xdr:nvSpPr>
        <xdr:cNvPr id="15" name="Forma libre: forma 14">
          <a:extLst>
            <a:ext uri="{FF2B5EF4-FFF2-40B4-BE49-F238E27FC236}">
              <a16:creationId xmlns:a16="http://schemas.microsoft.com/office/drawing/2014/main" id="{79501DEC-BB5F-4EEF-88C5-E8A5AA1771B3}"/>
            </a:ext>
          </a:extLst>
        </xdr:cNvPr>
        <xdr:cNvSpPr/>
      </xdr:nvSpPr>
      <xdr:spPr>
        <a:xfrm>
          <a:off x="13197840" y="3977640"/>
          <a:ext cx="2087880" cy="275263"/>
        </a:xfrm>
        <a:custGeom>
          <a:avLst/>
          <a:gdLst>
            <a:gd name="connsiteX0" fmla="*/ 1821180 w 1821180"/>
            <a:gd name="connsiteY0" fmla="*/ 0 h 275263"/>
            <a:gd name="connsiteX1" fmla="*/ 1455420 w 1821180"/>
            <a:gd name="connsiteY1" fmla="*/ 220980 h 275263"/>
            <a:gd name="connsiteX2" fmla="*/ 320040 w 1821180"/>
            <a:gd name="connsiteY2" fmla="*/ 259080 h 275263"/>
            <a:gd name="connsiteX3" fmla="*/ 0 w 1821180"/>
            <a:gd name="connsiteY3" fmla="*/ 0 h 27526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1821180" h="275263">
              <a:moveTo>
                <a:pt x="1821180" y="0"/>
              </a:moveTo>
              <a:cubicBezTo>
                <a:pt x="1763395" y="88900"/>
                <a:pt x="1705610" y="177800"/>
                <a:pt x="1455420" y="220980"/>
              </a:cubicBezTo>
              <a:cubicBezTo>
                <a:pt x="1205230" y="264160"/>
                <a:pt x="562610" y="295910"/>
                <a:pt x="320040" y="259080"/>
              </a:cubicBezTo>
              <a:cubicBezTo>
                <a:pt x="77470" y="222250"/>
                <a:pt x="38735" y="111125"/>
                <a:pt x="0" y="0"/>
              </a:cubicBezTo>
            </a:path>
          </a:pathLst>
        </a:custGeom>
        <a:noFill/>
        <a:ln>
          <a:headEnd type="none"/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6</xdr:col>
      <xdr:colOff>1135380</xdr:colOff>
      <xdr:row>46</xdr:row>
      <xdr:rowOff>38100</xdr:rowOff>
    </xdr:from>
    <xdr:to>
      <xdr:col>7</xdr:col>
      <xdr:colOff>822960</xdr:colOff>
      <xdr:row>47</xdr:row>
      <xdr:rowOff>130483</xdr:rowOff>
    </xdr:to>
    <xdr:sp macro="" textlink="">
      <xdr:nvSpPr>
        <xdr:cNvPr id="16" name="Forma libre: forma 15">
          <a:extLst>
            <a:ext uri="{FF2B5EF4-FFF2-40B4-BE49-F238E27FC236}">
              <a16:creationId xmlns:a16="http://schemas.microsoft.com/office/drawing/2014/main" id="{8A29786A-4ACE-4F59-A8E4-305D568BBA5E}"/>
            </a:ext>
          </a:extLst>
        </xdr:cNvPr>
        <xdr:cNvSpPr/>
      </xdr:nvSpPr>
      <xdr:spPr>
        <a:xfrm>
          <a:off x="13197840" y="8648700"/>
          <a:ext cx="2087880" cy="275263"/>
        </a:xfrm>
        <a:custGeom>
          <a:avLst/>
          <a:gdLst>
            <a:gd name="connsiteX0" fmla="*/ 1821180 w 1821180"/>
            <a:gd name="connsiteY0" fmla="*/ 0 h 275263"/>
            <a:gd name="connsiteX1" fmla="*/ 1455420 w 1821180"/>
            <a:gd name="connsiteY1" fmla="*/ 220980 h 275263"/>
            <a:gd name="connsiteX2" fmla="*/ 320040 w 1821180"/>
            <a:gd name="connsiteY2" fmla="*/ 259080 h 275263"/>
            <a:gd name="connsiteX3" fmla="*/ 0 w 1821180"/>
            <a:gd name="connsiteY3" fmla="*/ 0 h 27526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1821180" h="275263">
              <a:moveTo>
                <a:pt x="1821180" y="0"/>
              </a:moveTo>
              <a:cubicBezTo>
                <a:pt x="1763395" y="88900"/>
                <a:pt x="1705610" y="177800"/>
                <a:pt x="1455420" y="220980"/>
              </a:cubicBezTo>
              <a:cubicBezTo>
                <a:pt x="1205230" y="264160"/>
                <a:pt x="562610" y="295910"/>
                <a:pt x="320040" y="259080"/>
              </a:cubicBezTo>
              <a:cubicBezTo>
                <a:pt x="77470" y="222250"/>
                <a:pt x="38735" y="111125"/>
                <a:pt x="0" y="0"/>
              </a:cubicBezTo>
            </a:path>
          </a:pathLst>
        </a:custGeom>
        <a:noFill/>
        <a:ln>
          <a:headEnd type="none"/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4</xdr:col>
      <xdr:colOff>1295400</xdr:colOff>
      <xdr:row>46</xdr:row>
      <xdr:rowOff>60960</xdr:rowOff>
    </xdr:from>
    <xdr:to>
      <xdr:col>5</xdr:col>
      <xdr:colOff>906780</xdr:colOff>
      <xdr:row>47</xdr:row>
      <xdr:rowOff>138103</xdr:rowOff>
    </xdr:to>
    <xdr:sp macro="" textlink="">
      <xdr:nvSpPr>
        <xdr:cNvPr id="17" name="Forma libre: forma 16">
          <a:extLst>
            <a:ext uri="{FF2B5EF4-FFF2-40B4-BE49-F238E27FC236}">
              <a16:creationId xmlns:a16="http://schemas.microsoft.com/office/drawing/2014/main" id="{FE708B69-A97D-41CD-A733-10DFD9462A2B}"/>
            </a:ext>
          </a:extLst>
        </xdr:cNvPr>
        <xdr:cNvSpPr/>
      </xdr:nvSpPr>
      <xdr:spPr>
        <a:xfrm>
          <a:off x="8458200" y="8671560"/>
          <a:ext cx="2202180" cy="260023"/>
        </a:xfrm>
        <a:custGeom>
          <a:avLst/>
          <a:gdLst>
            <a:gd name="connsiteX0" fmla="*/ 1821180 w 1821180"/>
            <a:gd name="connsiteY0" fmla="*/ 0 h 275263"/>
            <a:gd name="connsiteX1" fmla="*/ 1455420 w 1821180"/>
            <a:gd name="connsiteY1" fmla="*/ 220980 h 275263"/>
            <a:gd name="connsiteX2" fmla="*/ 320040 w 1821180"/>
            <a:gd name="connsiteY2" fmla="*/ 259080 h 275263"/>
            <a:gd name="connsiteX3" fmla="*/ 0 w 1821180"/>
            <a:gd name="connsiteY3" fmla="*/ 0 h 27526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1821180" h="275263">
              <a:moveTo>
                <a:pt x="1821180" y="0"/>
              </a:moveTo>
              <a:cubicBezTo>
                <a:pt x="1763395" y="88900"/>
                <a:pt x="1705610" y="177800"/>
                <a:pt x="1455420" y="220980"/>
              </a:cubicBezTo>
              <a:cubicBezTo>
                <a:pt x="1205230" y="264160"/>
                <a:pt x="562610" y="295910"/>
                <a:pt x="320040" y="259080"/>
              </a:cubicBezTo>
              <a:cubicBezTo>
                <a:pt x="77470" y="222250"/>
                <a:pt x="38735" y="111125"/>
                <a:pt x="0" y="0"/>
              </a:cubicBezTo>
            </a:path>
          </a:pathLst>
        </a:custGeom>
        <a:noFill/>
        <a:ln>
          <a:headEnd type="none"/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6</xdr:col>
      <xdr:colOff>1135380</xdr:colOff>
      <xdr:row>46</xdr:row>
      <xdr:rowOff>38100</xdr:rowOff>
    </xdr:from>
    <xdr:to>
      <xdr:col>7</xdr:col>
      <xdr:colOff>822960</xdr:colOff>
      <xdr:row>47</xdr:row>
      <xdr:rowOff>130483</xdr:rowOff>
    </xdr:to>
    <xdr:sp macro="" textlink="">
      <xdr:nvSpPr>
        <xdr:cNvPr id="18" name="Forma libre: forma 17">
          <a:extLst>
            <a:ext uri="{FF2B5EF4-FFF2-40B4-BE49-F238E27FC236}">
              <a16:creationId xmlns:a16="http://schemas.microsoft.com/office/drawing/2014/main" id="{EA202D4B-41B1-4623-851E-42006A6AAA0D}"/>
            </a:ext>
          </a:extLst>
        </xdr:cNvPr>
        <xdr:cNvSpPr/>
      </xdr:nvSpPr>
      <xdr:spPr>
        <a:xfrm>
          <a:off x="13197840" y="8648700"/>
          <a:ext cx="2087880" cy="275263"/>
        </a:xfrm>
        <a:custGeom>
          <a:avLst/>
          <a:gdLst>
            <a:gd name="connsiteX0" fmla="*/ 1821180 w 1821180"/>
            <a:gd name="connsiteY0" fmla="*/ 0 h 275263"/>
            <a:gd name="connsiteX1" fmla="*/ 1455420 w 1821180"/>
            <a:gd name="connsiteY1" fmla="*/ 220980 h 275263"/>
            <a:gd name="connsiteX2" fmla="*/ 320040 w 1821180"/>
            <a:gd name="connsiteY2" fmla="*/ 259080 h 275263"/>
            <a:gd name="connsiteX3" fmla="*/ 0 w 1821180"/>
            <a:gd name="connsiteY3" fmla="*/ 0 h 27526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1821180" h="275263">
              <a:moveTo>
                <a:pt x="1821180" y="0"/>
              </a:moveTo>
              <a:cubicBezTo>
                <a:pt x="1763395" y="88900"/>
                <a:pt x="1705610" y="177800"/>
                <a:pt x="1455420" y="220980"/>
              </a:cubicBezTo>
              <a:cubicBezTo>
                <a:pt x="1205230" y="264160"/>
                <a:pt x="562610" y="295910"/>
                <a:pt x="320040" y="259080"/>
              </a:cubicBezTo>
              <a:cubicBezTo>
                <a:pt x="77470" y="222250"/>
                <a:pt x="38735" y="111125"/>
                <a:pt x="0" y="0"/>
              </a:cubicBezTo>
            </a:path>
          </a:pathLst>
        </a:custGeom>
        <a:noFill/>
        <a:ln>
          <a:headEnd type="none"/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1</xdr:col>
      <xdr:colOff>329316</xdr:colOff>
      <xdr:row>71</xdr:row>
      <xdr:rowOff>137656</xdr:rowOff>
    </xdr:from>
    <xdr:to>
      <xdr:col>4</xdr:col>
      <xdr:colOff>30479</xdr:colOff>
      <xdr:row>94</xdr:row>
      <xdr:rowOff>4637</xdr:rowOff>
    </xdr:to>
    <xdr:graphicFrame macro="">
      <xdr:nvGraphicFramePr>
        <xdr:cNvPr id="19" name="Gráfico 18">
          <a:extLst>
            <a:ext uri="{FF2B5EF4-FFF2-40B4-BE49-F238E27FC236}">
              <a16:creationId xmlns:a16="http://schemas.microsoft.com/office/drawing/2014/main" id="{765F5870-8509-429C-9CDF-2F84756CC6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835219</xdr:colOff>
      <xdr:row>71</xdr:row>
      <xdr:rowOff>128546</xdr:rowOff>
    </xdr:from>
    <xdr:to>
      <xdr:col>6</xdr:col>
      <xdr:colOff>2007042</xdr:colOff>
      <xdr:row>93</xdr:row>
      <xdr:rowOff>163167</xdr:rowOff>
    </xdr:to>
    <xdr:graphicFrame macro="">
      <xdr:nvGraphicFramePr>
        <xdr:cNvPr id="20" name="Gráfico 19">
          <a:extLst>
            <a:ext uri="{FF2B5EF4-FFF2-40B4-BE49-F238E27FC236}">
              <a16:creationId xmlns:a16="http://schemas.microsoft.com/office/drawing/2014/main" id="{60C5C52A-422B-4DB8-A5B2-F97F14C12C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1264920</xdr:colOff>
      <xdr:row>22</xdr:row>
      <xdr:rowOff>45720</xdr:rowOff>
    </xdr:from>
    <xdr:to>
      <xdr:col>3</xdr:col>
      <xdr:colOff>1257300</xdr:colOff>
      <xdr:row>23</xdr:row>
      <xdr:rowOff>138103</xdr:rowOff>
    </xdr:to>
    <xdr:sp macro="" textlink="">
      <xdr:nvSpPr>
        <xdr:cNvPr id="7" name="Forma libre: forma 6">
          <a:extLst>
            <a:ext uri="{FF2B5EF4-FFF2-40B4-BE49-F238E27FC236}">
              <a16:creationId xmlns:a16="http://schemas.microsoft.com/office/drawing/2014/main" id="{503E9E65-77D2-44A6-8CED-B4394AB16A1B}"/>
            </a:ext>
          </a:extLst>
        </xdr:cNvPr>
        <xdr:cNvSpPr/>
      </xdr:nvSpPr>
      <xdr:spPr>
        <a:xfrm>
          <a:off x="3246120" y="4168140"/>
          <a:ext cx="2583180" cy="275263"/>
        </a:xfrm>
        <a:custGeom>
          <a:avLst/>
          <a:gdLst>
            <a:gd name="connsiteX0" fmla="*/ 1821180 w 1821180"/>
            <a:gd name="connsiteY0" fmla="*/ 0 h 275263"/>
            <a:gd name="connsiteX1" fmla="*/ 1455420 w 1821180"/>
            <a:gd name="connsiteY1" fmla="*/ 220980 h 275263"/>
            <a:gd name="connsiteX2" fmla="*/ 320040 w 1821180"/>
            <a:gd name="connsiteY2" fmla="*/ 259080 h 275263"/>
            <a:gd name="connsiteX3" fmla="*/ 0 w 1821180"/>
            <a:gd name="connsiteY3" fmla="*/ 0 h 27526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1821180" h="275263">
              <a:moveTo>
                <a:pt x="1821180" y="0"/>
              </a:moveTo>
              <a:cubicBezTo>
                <a:pt x="1763395" y="88900"/>
                <a:pt x="1705610" y="177800"/>
                <a:pt x="1455420" y="220980"/>
              </a:cubicBezTo>
              <a:cubicBezTo>
                <a:pt x="1205230" y="264160"/>
                <a:pt x="562610" y="295910"/>
                <a:pt x="320040" y="259080"/>
              </a:cubicBezTo>
              <a:cubicBezTo>
                <a:pt x="77470" y="222250"/>
                <a:pt x="38735" y="111125"/>
                <a:pt x="0" y="0"/>
              </a:cubicBezTo>
            </a:path>
          </a:pathLst>
        </a:custGeom>
        <a:noFill/>
        <a:ln>
          <a:headEnd type="none"/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4</xdr:col>
      <xdr:colOff>1348740</xdr:colOff>
      <xdr:row>22</xdr:row>
      <xdr:rowOff>45720</xdr:rowOff>
    </xdr:from>
    <xdr:to>
      <xdr:col>5</xdr:col>
      <xdr:colOff>1120140</xdr:colOff>
      <xdr:row>24</xdr:row>
      <xdr:rowOff>8563</xdr:rowOff>
    </xdr:to>
    <xdr:sp macro="" textlink="">
      <xdr:nvSpPr>
        <xdr:cNvPr id="8" name="Forma libre: forma 7">
          <a:extLst>
            <a:ext uri="{FF2B5EF4-FFF2-40B4-BE49-F238E27FC236}">
              <a16:creationId xmlns:a16="http://schemas.microsoft.com/office/drawing/2014/main" id="{C778D196-B49F-4010-97ED-ABA1AC83A0D8}"/>
            </a:ext>
          </a:extLst>
        </xdr:cNvPr>
        <xdr:cNvSpPr/>
      </xdr:nvSpPr>
      <xdr:spPr>
        <a:xfrm>
          <a:off x="8511540" y="4168140"/>
          <a:ext cx="2362200" cy="328603"/>
        </a:xfrm>
        <a:custGeom>
          <a:avLst/>
          <a:gdLst>
            <a:gd name="connsiteX0" fmla="*/ 1821180 w 1821180"/>
            <a:gd name="connsiteY0" fmla="*/ 0 h 275263"/>
            <a:gd name="connsiteX1" fmla="*/ 1455420 w 1821180"/>
            <a:gd name="connsiteY1" fmla="*/ 220980 h 275263"/>
            <a:gd name="connsiteX2" fmla="*/ 320040 w 1821180"/>
            <a:gd name="connsiteY2" fmla="*/ 259080 h 275263"/>
            <a:gd name="connsiteX3" fmla="*/ 0 w 1821180"/>
            <a:gd name="connsiteY3" fmla="*/ 0 h 27526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1821180" h="275263">
              <a:moveTo>
                <a:pt x="1821180" y="0"/>
              </a:moveTo>
              <a:cubicBezTo>
                <a:pt x="1763395" y="88900"/>
                <a:pt x="1705610" y="177800"/>
                <a:pt x="1455420" y="220980"/>
              </a:cubicBezTo>
              <a:cubicBezTo>
                <a:pt x="1205230" y="264160"/>
                <a:pt x="562610" y="295910"/>
                <a:pt x="320040" y="259080"/>
              </a:cubicBezTo>
              <a:cubicBezTo>
                <a:pt x="77470" y="222250"/>
                <a:pt x="38735" y="111125"/>
                <a:pt x="0" y="0"/>
              </a:cubicBezTo>
            </a:path>
          </a:pathLst>
        </a:custGeom>
        <a:noFill/>
        <a:ln>
          <a:headEnd type="none"/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1</xdr:col>
      <xdr:colOff>329316</xdr:colOff>
      <xdr:row>72</xdr:row>
      <xdr:rowOff>137656</xdr:rowOff>
    </xdr:from>
    <xdr:to>
      <xdr:col>4</xdr:col>
      <xdr:colOff>30479</xdr:colOff>
      <xdr:row>95</xdr:row>
      <xdr:rowOff>4637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B452A4DF-465F-429C-AB11-0B775E063E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835219</xdr:colOff>
      <xdr:row>72</xdr:row>
      <xdr:rowOff>128546</xdr:rowOff>
    </xdr:from>
    <xdr:to>
      <xdr:col>6</xdr:col>
      <xdr:colOff>2007042</xdr:colOff>
      <xdr:row>94</xdr:row>
      <xdr:rowOff>163167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677A227E-9A38-4631-9DD8-DDB2F8A9EE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1264920</xdr:colOff>
      <xdr:row>48</xdr:row>
      <xdr:rowOff>45720</xdr:rowOff>
    </xdr:from>
    <xdr:to>
      <xdr:col>3</xdr:col>
      <xdr:colOff>1257300</xdr:colOff>
      <xdr:row>49</xdr:row>
      <xdr:rowOff>138103</xdr:rowOff>
    </xdr:to>
    <xdr:sp macro="" textlink="">
      <xdr:nvSpPr>
        <xdr:cNvPr id="14" name="Forma libre: forma 13">
          <a:extLst>
            <a:ext uri="{FF2B5EF4-FFF2-40B4-BE49-F238E27FC236}">
              <a16:creationId xmlns:a16="http://schemas.microsoft.com/office/drawing/2014/main" id="{639FA4E4-72BC-4761-B29D-D30384D711FE}"/>
            </a:ext>
          </a:extLst>
        </xdr:cNvPr>
        <xdr:cNvSpPr/>
      </xdr:nvSpPr>
      <xdr:spPr>
        <a:xfrm>
          <a:off x="3246120" y="4168140"/>
          <a:ext cx="2583180" cy="275263"/>
        </a:xfrm>
        <a:custGeom>
          <a:avLst/>
          <a:gdLst>
            <a:gd name="connsiteX0" fmla="*/ 1821180 w 1821180"/>
            <a:gd name="connsiteY0" fmla="*/ 0 h 275263"/>
            <a:gd name="connsiteX1" fmla="*/ 1455420 w 1821180"/>
            <a:gd name="connsiteY1" fmla="*/ 220980 h 275263"/>
            <a:gd name="connsiteX2" fmla="*/ 320040 w 1821180"/>
            <a:gd name="connsiteY2" fmla="*/ 259080 h 275263"/>
            <a:gd name="connsiteX3" fmla="*/ 0 w 1821180"/>
            <a:gd name="connsiteY3" fmla="*/ 0 h 27526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1821180" h="275263">
              <a:moveTo>
                <a:pt x="1821180" y="0"/>
              </a:moveTo>
              <a:cubicBezTo>
                <a:pt x="1763395" y="88900"/>
                <a:pt x="1705610" y="177800"/>
                <a:pt x="1455420" y="220980"/>
              </a:cubicBezTo>
              <a:cubicBezTo>
                <a:pt x="1205230" y="264160"/>
                <a:pt x="562610" y="295910"/>
                <a:pt x="320040" y="259080"/>
              </a:cubicBezTo>
              <a:cubicBezTo>
                <a:pt x="77470" y="222250"/>
                <a:pt x="38735" y="111125"/>
                <a:pt x="0" y="0"/>
              </a:cubicBezTo>
            </a:path>
          </a:pathLst>
        </a:custGeom>
        <a:noFill/>
        <a:ln>
          <a:headEnd type="none"/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4</xdr:col>
      <xdr:colOff>1348740</xdr:colOff>
      <xdr:row>48</xdr:row>
      <xdr:rowOff>45720</xdr:rowOff>
    </xdr:from>
    <xdr:to>
      <xdr:col>5</xdr:col>
      <xdr:colOff>1120140</xdr:colOff>
      <xdr:row>50</xdr:row>
      <xdr:rowOff>8563</xdr:rowOff>
    </xdr:to>
    <xdr:sp macro="" textlink="">
      <xdr:nvSpPr>
        <xdr:cNvPr id="15" name="Forma libre: forma 14">
          <a:extLst>
            <a:ext uri="{FF2B5EF4-FFF2-40B4-BE49-F238E27FC236}">
              <a16:creationId xmlns:a16="http://schemas.microsoft.com/office/drawing/2014/main" id="{F46B51A7-4C10-4FA1-AAEF-411EF9A87E4C}"/>
            </a:ext>
          </a:extLst>
        </xdr:cNvPr>
        <xdr:cNvSpPr/>
      </xdr:nvSpPr>
      <xdr:spPr>
        <a:xfrm>
          <a:off x="8511540" y="4168140"/>
          <a:ext cx="2362200" cy="328603"/>
        </a:xfrm>
        <a:custGeom>
          <a:avLst/>
          <a:gdLst>
            <a:gd name="connsiteX0" fmla="*/ 1821180 w 1821180"/>
            <a:gd name="connsiteY0" fmla="*/ 0 h 275263"/>
            <a:gd name="connsiteX1" fmla="*/ 1455420 w 1821180"/>
            <a:gd name="connsiteY1" fmla="*/ 220980 h 275263"/>
            <a:gd name="connsiteX2" fmla="*/ 320040 w 1821180"/>
            <a:gd name="connsiteY2" fmla="*/ 259080 h 275263"/>
            <a:gd name="connsiteX3" fmla="*/ 0 w 1821180"/>
            <a:gd name="connsiteY3" fmla="*/ 0 h 27526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1821180" h="275263">
              <a:moveTo>
                <a:pt x="1821180" y="0"/>
              </a:moveTo>
              <a:cubicBezTo>
                <a:pt x="1763395" y="88900"/>
                <a:pt x="1705610" y="177800"/>
                <a:pt x="1455420" y="220980"/>
              </a:cubicBezTo>
              <a:cubicBezTo>
                <a:pt x="1205230" y="264160"/>
                <a:pt x="562610" y="295910"/>
                <a:pt x="320040" y="259080"/>
              </a:cubicBezTo>
              <a:cubicBezTo>
                <a:pt x="77470" y="222250"/>
                <a:pt x="38735" y="111125"/>
                <a:pt x="0" y="0"/>
              </a:cubicBezTo>
            </a:path>
          </a:pathLst>
        </a:custGeom>
        <a:noFill/>
        <a:ln>
          <a:headEnd type="none"/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7</xdr:col>
      <xdr:colOff>0</xdr:colOff>
      <xdr:row>99</xdr:row>
      <xdr:rowOff>0</xdr:rowOff>
    </xdr:from>
    <xdr:to>
      <xdr:col>9</xdr:col>
      <xdr:colOff>1209923</xdr:colOff>
      <xdr:row>120</xdr:row>
      <xdr:rowOff>141301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A90626E4-83A2-4430-88C4-F7684E1643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762000</xdr:colOff>
      <xdr:row>123</xdr:row>
      <xdr:rowOff>175260</xdr:rowOff>
    </xdr:from>
    <xdr:to>
      <xdr:col>7</xdr:col>
      <xdr:colOff>2124323</xdr:colOff>
      <xdr:row>146</xdr:row>
      <xdr:rowOff>126061</xdr:rowOff>
    </xdr:to>
    <xdr:graphicFrame macro="">
      <xdr:nvGraphicFramePr>
        <xdr:cNvPr id="17" name="Gráfico 16">
          <a:extLst>
            <a:ext uri="{FF2B5EF4-FFF2-40B4-BE49-F238E27FC236}">
              <a16:creationId xmlns:a16="http://schemas.microsoft.com/office/drawing/2014/main" id="{96A161C7-BBB2-46FB-ACC7-EEDA2F3B29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73</xdr:row>
      <xdr:rowOff>0</xdr:rowOff>
    </xdr:from>
    <xdr:to>
      <xdr:col>9</xdr:col>
      <xdr:colOff>859403</xdr:colOff>
      <xdr:row>95</xdr:row>
      <xdr:rowOff>34621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D993B966-6ED3-41F3-B531-D4E0529A43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1264920</xdr:colOff>
      <xdr:row>16</xdr:row>
      <xdr:rowOff>45720</xdr:rowOff>
    </xdr:from>
    <xdr:to>
      <xdr:col>3</xdr:col>
      <xdr:colOff>1257300</xdr:colOff>
      <xdr:row>17</xdr:row>
      <xdr:rowOff>138103</xdr:rowOff>
    </xdr:to>
    <xdr:sp macro="" textlink="">
      <xdr:nvSpPr>
        <xdr:cNvPr id="2" name="Forma libre: forma 1">
          <a:extLst>
            <a:ext uri="{FF2B5EF4-FFF2-40B4-BE49-F238E27FC236}">
              <a16:creationId xmlns:a16="http://schemas.microsoft.com/office/drawing/2014/main" id="{047D29B4-A42E-4F41-A115-F6FCAB081457}"/>
            </a:ext>
          </a:extLst>
        </xdr:cNvPr>
        <xdr:cNvSpPr/>
      </xdr:nvSpPr>
      <xdr:spPr>
        <a:xfrm>
          <a:off x="3246120" y="4168140"/>
          <a:ext cx="2583180" cy="275263"/>
        </a:xfrm>
        <a:custGeom>
          <a:avLst/>
          <a:gdLst>
            <a:gd name="connsiteX0" fmla="*/ 1821180 w 1821180"/>
            <a:gd name="connsiteY0" fmla="*/ 0 h 275263"/>
            <a:gd name="connsiteX1" fmla="*/ 1455420 w 1821180"/>
            <a:gd name="connsiteY1" fmla="*/ 220980 h 275263"/>
            <a:gd name="connsiteX2" fmla="*/ 320040 w 1821180"/>
            <a:gd name="connsiteY2" fmla="*/ 259080 h 275263"/>
            <a:gd name="connsiteX3" fmla="*/ 0 w 1821180"/>
            <a:gd name="connsiteY3" fmla="*/ 0 h 27526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1821180" h="275263">
              <a:moveTo>
                <a:pt x="1821180" y="0"/>
              </a:moveTo>
              <a:cubicBezTo>
                <a:pt x="1763395" y="88900"/>
                <a:pt x="1705610" y="177800"/>
                <a:pt x="1455420" y="220980"/>
              </a:cubicBezTo>
              <a:cubicBezTo>
                <a:pt x="1205230" y="264160"/>
                <a:pt x="562610" y="295910"/>
                <a:pt x="320040" y="259080"/>
              </a:cubicBezTo>
              <a:cubicBezTo>
                <a:pt x="77470" y="222250"/>
                <a:pt x="38735" y="111125"/>
                <a:pt x="0" y="0"/>
              </a:cubicBezTo>
            </a:path>
          </a:pathLst>
        </a:custGeom>
        <a:noFill/>
        <a:ln>
          <a:headEnd type="none"/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4</xdr:col>
      <xdr:colOff>1348740</xdr:colOff>
      <xdr:row>16</xdr:row>
      <xdr:rowOff>45720</xdr:rowOff>
    </xdr:from>
    <xdr:to>
      <xdr:col>5</xdr:col>
      <xdr:colOff>1120140</xdr:colOff>
      <xdr:row>18</xdr:row>
      <xdr:rowOff>8563</xdr:rowOff>
    </xdr:to>
    <xdr:sp macro="" textlink="">
      <xdr:nvSpPr>
        <xdr:cNvPr id="3" name="Forma libre: forma 2">
          <a:extLst>
            <a:ext uri="{FF2B5EF4-FFF2-40B4-BE49-F238E27FC236}">
              <a16:creationId xmlns:a16="http://schemas.microsoft.com/office/drawing/2014/main" id="{A8321859-30F9-43D1-8B95-7BDF17CDE42D}"/>
            </a:ext>
          </a:extLst>
        </xdr:cNvPr>
        <xdr:cNvSpPr/>
      </xdr:nvSpPr>
      <xdr:spPr>
        <a:xfrm>
          <a:off x="8511540" y="4168140"/>
          <a:ext cx="2362200" cy="328603"/>
        </a:xfrm>
        <a:custGeom>
          <a:avLst/>
          <a:gdLst>
            <a:gd name="connsiteX0" fmla="*/ 1821180 w 1821180"/>
            <a:gd name="connsiteY0" fmla="*/ 0 h 275263"/>
            <a:gd name="connsiteX1" fmla="*/ 1455420 w 1821180"/>
            <a:gd name="connsiteY1" fmla="*/ 220980 h 275263"/>
            <a:gd name="connsiteX2" fmla="*/ 320040 w 1821180"/>
            <a:gd name="connsiteY2" fmla="*/ 259080 h 275263"/>
            <a:gd name="connsiteX3" fmla="*/ 0 w 1821180"/>
            <a:gd name="connsiteY3" fmla="*/ 0 h 27526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1821180" h="275263">
              <a:moveTo>
                <a:pt x="1821180" y="0"/>
              </a:moveTo>
              <a:cubicBezTo>
                <a:pt x="1763395" y="88900"/>
                <a:pt x="1705610" y="177800"/>
                <a:pt x="1455420" y="220980"/>
              </a:cubicBezTo>
              <a:cubicBezTo>
                <a:pt x="1205230" y="264160"/>
                <a:pt x="562610" y="295910"/>
                <a:pt x="320040" y="259080"/>
              </a:cubicBezTo>
              <a:cubicBezTo>
                <a:pt x="77470" y="222250"/>
                <a:pt x="38735" y="111125"/>
                <a:pt x="0" y="0"/>
              </a:cubicBezTo>
            </a:path>
          </a:pathLst>
        </a:custGeom>
        <a:noFill/>
        <a:ln>
          <a:headEnd type="none"/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1</xdr:col>
      <xdr:colOff>329316</xdr:colOff>
      <xdr:row>60</xdr:row>
      <xdr:rowOff>137656</xdr:rowOff>
    </xdr:from>
    <xdr:to>
      <xdr:col>4</xdr:col>
      <xdr:colOff>30479</xdr:colOff>
      <xdr:row>83</xdr:row>
      <xdr:rowOff>4637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337A362B-8571-41D2-9088-2B3F7B2F1F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873319</xdr:colOff>
      <xdr:row>60</xdr:row>
      <xdr:rowOff>120926</xdr:rowOff>
    </xdr:from>
    <xdr:to>
      <xdr:col>6</xdr:col>
      <xdr:colOff>2045142</xdr:colOff>
      <xdr:row>82</xdr:row>
      <xdr:rowOff>155547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9BC9C90D-9418-4AD1-828D-E5EC964E02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1264920</xdr:colOff>
      <xdr:row>36</xdr:row>
      <xdr:rowOff>45720</xdr:rowOff>
    </xdr:from>
    <xdr:to>
      <xdr:col>3</xdr:col>
      <xdr:colOff>1257300</xdr:colOff>
      <xdr:row>37</xdr:row>
      <xdr:rowOff>138103</xdr:rowOff>
    </xdr:to>
    <xdr:sp macro="" textlink="">
      <xdr:nvSpPr>
        <xdr:cNvPr id="6" name="Forma libre: forma 5">
          <a:extLst>
            <a:ext uri="{FF2B5EF4-FFF2-40B4-BE49-F238E27FC236}">
              <a16:creationId xmlns:a16="http://schemas.microsoft.com/office/drawing/2014/main" id="{6C3FD2A9-82FB-4A61-A151-4B4A0FCEA2F8}"/>
            </a:ext>
          </a:extLst>
        </xdr:cNvPr>
        <xdr:cNvSpPr/>
      </xdr:nvSpPr>
      <xdr:spPr>
        <a:xfrm>
          <a:off x="3246120" y="9022080"/>
          <a:ext cx="2583180" cy="275263"/>
        </a:xfrm>
        <a:custGeom>
          <a:avLst/>
          <a:gdLst>
            <a:gd name="connsiteX0" fmla="*/ 1821180 w 1821180"/>
            <a:gd name="connsiteY0" fmla="*/ 0 h 275263"/>
            <a:gd name="connsiteX1" fmla="*/ 1455420 w 1821180"/>
            <a:gd name="connsiteY1" fmla="*/ 220980 h 275263"/>
            <a:gd name="connsiteX2" fmla="*/ 320040 w 1821180"/>
            <a:gd name="connsiteY2" fmla="*/ 259080 h 275263"/>
            <a:gd name="connsiteX3" fmla="*/ 0 w 1821180"/>
            <a:gd name="connsiteY3" fmla="*/ 0 h 27526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1821180" h="275263">
              <a:moveTo>
                <a:pt x="1821180" y="0"/>
              </a:moveTo>
              <a:cubicBezTo>
                <a:pt x="1763395" y="88900"/>
                <a:pt x="1705610" y="177800"/>
                <a:pt x="1455420" y="220980"/>
              </a:cubicBezTo>
              <a:cubicBezTo>
                <a:pt x="1205230" y="264160"/>
                <a:pt x="562610" y="295910"/>
                <a:pt x="320040" y="259080"/>
              </a:cubicBezTo>
              <a:cubicBezTo>
                <a:pt x="77470" y="222250"/>
                <a:pt x="38735" y="111125"/>
                <a:pt x="0" y="0"/>
              </a:cubicBezTo>
            </a:path>
          </a:pathLst>
        </a:custGeom>
        <a:noFill/>
        <a:ln>
          <a:headEnd type="none"/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4</xdr:col>
      <xdr:colOff>1348740</xdr:colOff>
      <xdr:row>36</xdr:row>
      <xdr:rowOff>45720</xdr:rowOff>
    </xdr:from>
    <xdr:to>
      <xdr:col>5</xdr:col>
      <xdr:colOff>1120140</xdr:colOff>
      <xdr:row>38</xdr:row>
      <xdr:rowOff>8563</xdr:rowOff>
    </xdr:to>
    <xdr:sp macro="" textlink="">
      <xdr:nvSpPr>
        <xdr:cNvPr id="7" name="Forma libre: forma 6">
          <a:extLst>
            <a:ext uri="{FF2B5EF4-FFF2-40B4-BE49-F238E27FC236}">
              <a16:creationId xmlns:a16="http://schemas.microsoft.com/office/drawing/2014/main" id="{BA335B12-8DF3-4375-8E2F-5B247BB8653B}"/>
            </a:ext>
          </a:extLst>
        </xdr:cNvPr>
        <xdr:cNvSpPr/>
      </xdr:nvSpPr>
      <xdr:spPr>
        <a:xfrm>
          <a:off x="8511540" y="9022080"/>
          <a:ext cx="2362200" cy="328603"/>
        </a:xfrm>
        <a:custGeom>
          <a:avLst/>
          <a:gdLst>
            <a:gd name="connsiteX0" fmla="*/ 1821180 w 1821180"/>
            <a:gd name="connsiteY0" fmla="*/ 0 h 275263"/>
            <a:gd name="connsiteX1" fmla="*/ 1455420 w 1821180"/>
            <a:gd name="connsiteY1" fmla="*/ 220980 h 275263"/>
            <a:gd name="connsiteX2" fmla="*/ 320040 w 1821180"/>
            <a:gd name="connsiteY2" fmla="*/ 259080 h 275263"/>
            <a:gd name="connsiteX3" fmla="*/ 0 w 1821180"/>
            <a:gd name="connsiteY3" fmla="*/ 0 h 27526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1821180" h="275263">
              <a:moveTo>
                <a:pt x="1821180" y="0"/>
              </a:moveTo>
              <a:cubicBezTo>
                <a:pt x="1763395" y="88900"/>
                <a:pt x="1705610" y="177800"/>
                <a:pt x="1455420" y="220980"/>
              </a:cubicBezTo>
              <a:cubicBezTo>
                <a:pt x="1205230" y="264160"/>
                <a:pt x="562610" y="295910"/>
                <a:pt x="320040" y="259080"/>
              </a:cubicBezTo>
              <a:cubicBezTo>
                <a:pt x="77470" y="222250"/>
                <a:pt x="38735" y="111125"/>
                <a:pt x="0" y="0"/>
              </a:cubicBezTo>
            </a:path>
          </a:pathLst>
        </a:custGeom>
        <a:noFill/>
        <a:ln>
          <a:headEnd type="none"/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7</xdr:col>
      <xdr:colOff>0</xdr:colOff>
      <xdr:row>87</xdr:row>
      <xdr:rowOff>0</xdr:rowOff>
    </xdr:from>
    <xdr:to>
      <xdr:col>9</xdr:col>
      <xdr:colOff>1209923</xdr:colOff>
      <xdr:row>109</xdr:row>
      <xdr:rowOff>141301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D12C9E26-0319-4468-8145-99D4B8FFAC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762000</xdr:colOff>
      <xdr:row>112</xdr:row>
      <xdr:rowOff>175260</xdr:rowOff>
    </xdr:from>
    <xdr:to>
      <xdr:col>7</xdr:col>
      <xdr:colOff>2124323</xdr:colOff>
      <xdr:row>135</xdr:row>
      <xdr:rowOff>126061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81BA167C-0B39-49C1-879D-5BBDB490CA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21771</xdr:colOff>
      <xdr:row>60</xdr:row>
      <xdr:rowOff>152400</xdr:rowOff>
    </xdr:from>
    <xdr:to>
      <xdr:col>9</xdr:col>
      <xdr:colOff>877908</xdr:colOff>
      <xdr:row>83</xdr:row>
      <xdr:rowOff>1964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D4510510-E1FB-42E6-B771-4A77A2B5C2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670560</xdr:colOff>
      <xdr:row>15</xdr:row>
      <xdr:rowOff>30480</xdr:rowOff>
    </xdr:from>
    <xdr:to>
      <xdr:col>3</xdr:col>
      <xdr:colOff>876300</xdr:colOff>
      <xdr:row>17</xdr:row>
      <xdr:rowOff>39043</xdr:rowOff>
    </xdr:to>
    <xdr:sp macro="" textlink="">
      <xdr:nvSpPr>
        <xdr:cNvPr id="2" name="Forma libre: forma 1">
          <a:extLst>
            <a:ext uri="{FF2B5EF4-FFF2-40B4-BE49-F238E27FC236}">
              <a16:creationId xmlns:a16="http://schemas.microsoft.com/office/drawing/2014/main" id="{3EEC09E9-5680-44A3-8706-0D8BA6761341}"/>
            </a:ext>
          </a:extLst>
        </xdr:cNvPr>
        <xdr:cNvSpPr/>
      </xdr:nvSpPr>
      <xdr:spPr>
        <a:xfrm>
          <a:off x="2651760" y="2872740"/>
          <a:ext cx="1516380" cy="374323"/>
        </a:xfrm>
        <a:custGeom>
          <a:avLst/>
          <a:gdLst>
            <a:gd name="connsiteX0" fmla="*/ 1821180 w 1821180"/>
            <a:gd name="connsiteY0" fmla="*/ 0 h 275263"/>
            <a:gd name="connsiteX1" fmla="*/ 1455420 w 1821180"/>
            <a:gd name="connsiteY1" fmla="*/ 220980 h 275263"/>
            <a:gd name="connsiteX2" fmla="*/ 320040 w 1821180"/>
            <a:gd name="connsiteY2" fmla="*/ 259080 h 275263"/>
            <a:gd name="connsiteX3" fmla="*/ 0 w 1821180"/>
            <a:gd name="connsiteY3" fmla="*/ 0 h 27526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1821180" h="275263">
              <a:moveTo>
                <a:pt x="1821180" y="0"/>
              </a:moveTo>
              <a:cubicBezTo>
                <a:pt x="1763395" y="88900"/>
                <a:pt x="1705610" y="177800"/>
                <a:pt x="1455420" y="220980"/>
              </a:cubicBezTo>
              <a:cubicBezTo>
                <a:pt x="1205230" y="264160"/>
                <a:pt x="562610" y="295910"/>
                <a:pt x="320040" y="259080"/>
              </a:cubicBezTo>
              <a:cubicBezTo>
                <a:pt x="77470" y="222250"/>
                <a:pt x="38735" y="111125"/>
                <a:pt x="0" y="0"/>
              </a:cubicBezTo>
            </a:path>
          </a:pathLst>
        </a:custGeom>
        <a:noFill/>
        <a:ln>
          <a:headEnd type="none"/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2</xdr:col>
      <xdr:colOff>670560</xdr:colOff>
      <xdr:row>36</xdr:row>
      <xdr:rowOff>30480</xdr:rowOff>
    </xdr:from>
    <xdr:to>
      <xdr:col>3</xdr:col>
      <xdr:colOff>876300</xdr:colOff>
      <xdr:row>38</xdr:row>
      <xdr:rowOff>39043</xdr:rowOff>
    </xdr:to>
    <xdr:sp macro="" textlink="">
      <xdr:nvSpPr>
        <xdr:cNvPr id="3" name="Forma libre: forma 2">
          <a:extLst>
            <a:ext uri="{FF2B5EF4-FFF2-40B4-BE49-F238E27FC236}">
              <a16:creationId xmlns:a16="http://schemas.microsoft.com/office/drawing/2014/main" id="{D6D8C2DA-6FD4-4995-9EFF-AC215B58588E}"/>
            </a:ext>
          </a:extLst>
        </xdr:cNvPr>
        <xdr:cNvSpPr/>
      </xdr:nvSpPr>
      <xdr:spPr>
        <a:xfrm>
          <a:off x="2651760" y="2903220"/>
          <a:ext cx="1516380" cy="420043"/>
        </a:xfrm>
        <a:custGeom>
          <a:avLst/>
          <a:gdLst>
            <a:gd name="connsiteX0" fmla="*/ 1821180 w 1821180"/>
            <a:gd name="connsiteY0" fmla="*/ 0 h 275263"/>
            <a:gd name="connsiteX1" fmla="*/ 1455420 w 1821180"/>
            <a:gd name="connsiteY1" fmla="*/ 220980 h 275263"/>
            <a:gd name="connsiteX2" fmla="*/ 320040 w 1821180"/>
            <a:gd name="connsiteY2" fmla="*/ 259080 h 275263"/>
            <a:gd name="connsiteX3" fmla="*/ 0 w 1821180"/>
            <a:gd name="connsiteY3" fmla="*/ 0 h 27526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1821180" h="275263">
              <a:moveTo>
                <a:pt x="1821180" y="0"/>
              </a:moveTo>
              <a:cubicBezTo>
                <a:pt x="1763395" y="88900"/>
                <a:pt x="1705610" y="177800"/>
                <a:pt x="1455420" y="220980"/>
              </a:cubicBezTo>
              <a:cubicBezTo>
                <a:pt x="1205230" y="264160"/>
                <a:pt x="562610" y="295910"/>
                <a:pt x="320040" y="259080"/>
              </a:cubicBezTo>
              <a:cubicBezTo>
                <a:pt x="77470" y="222250"/>
                <a:pt x="38735" y="111125"/>
                <a:pt x="0" y="0"/>
              </a:cubicBezTo>
            </a:path>
          </a:pathLst>
        </a:custGeom>
        <a:noFill/>
        <a:ln>
          <a:headEnd type="none"/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670560</xdr:colOff>
      <xdr:row>15</xdr:row>
      <xdr:rowOff>30480</xdr:rowOff>
    </xdr:from>
    <xdr:to>
      <xdr:col>3</xdr:col>
      <xdr:colOff>876300</xdr:colOff>
      <xdr:row>17</xdr:row>
      <xdr:rowOff>39043</xdr:rowOff>
    </xdr:to>
    <xdr:sp macro="" textlink="">
      <xdr:nvSpPr>
        <xdr:cNvPr id="2" name="Forma libre: forma 1">
          <a:extLst>
            <a:ext uri="{FF2B5EF4-FFF2-40B4-BE49-F238E27FC236}">
              <a16:creationId xmlns:a16="http://schemas.microsoft.com/office/drawing/2014/main" id="{8580416A-2E44-4861-95B7-A5CF0536F0D7}"/>
            </a:ext>
          </a:extLst>
        </xdr:cNvPr>
        <xdr:cNvSpPr/>
      </xdr:nvSpPr>
      <xdr:spPr>
        <a:xfrm>
          <a:off x="2651760" y="2903220"/>
          <a:ext cx="1516380" cy="420043"/>
        </a:xfrm>
        <a:custGeom>
          <a:avLst/>
          <a:gdLst>
            <a:gd name="connsiteX0" fmla="*/ 1821180 w 1821180"/>
            <a:gd name="connsiteY0" fmla="*/ 0 h 275263"/>
            <a:gd name="connsiteX1" fmla="*/ 1455420 w 1821180"/>
            <a:gd name="connsiteY1" fmla="*/ 220980 h 275263"/>
            <a:gd name="connsiteX2" fmla="*/ 320040 w 1821180"/>
            <a:gd name="connsiteY2" fmla="*/ 259080 h 275263"/>
            <a:gd name="connsiteX3" fmla="*/ 0 w 1821180"/>
            <a:gd name="connsiteY3" fmla="*/ 0 h 27526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1821180" h="275263">
              <a:moveTo>
                <a:pt x="1821180" y="0"/>
              </a:moveTo>
              <a:cubicBezTo>
                <a:pt x="1763395" y="88900"/>
                <a:pt x="1705610" y="177800"/>
                <a:pt x="1455420" y="220980"/>
              </a:cubicBezTo>
              <a:cubicBezTo>
                <a:pt x="1205230" y="264160"/>
                <a:pt x="562610" y="295910"/>
                <a:pt x="320040" y="259080"/>
              </a:cubicBezTo>
              <a:cubicBezTo>
                <a:pt x="77470" y="222250"/>
                <a:pt x="38735" y="111125"/>
                <a:pt x="0" y="0"/>
              </a:cubicBezTo>
            </a:path>
          </a:pathLst>
        </a:custGeom>
        <a:noFill/>
        <a:ln>
          <a:headEnd type="none"/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2</xdr:col>
      <xdr:colOff>670560</xdr:colOff>
      <xdr:row>38</xdr:row>
      <xdr:rowOff>30480</xdr:rowOff>
    </xdr:from>
    <xdr:to>
      <xdr:col>3</xdr:col>
      <xdr:colOff>876300</xdr:colOff>
      <xdr:row>40</xdr:row>
      <xdr:rowOff>39043</xdr:rowOff>
    </xdr:to>
    <xdr:sp macro="" textlink="">
      <xdr:nvSpPr>
        <xdr:cNvPr id="3" name="Forma libre: forma 2">
          <a:extLst>
            <a:ext uri="{FF2B5EF4-FFF2-40B4-BE49-F238E27FC236}">
              <a16:creationId xmlns:a16="http://schemas.microsoft.com/office/drawing/2014/main" id="{B3AE344B-E3AF-4DB9-B8DA-0BC5FDBED05D}"/>
            </a:ext>
          </a:extLst>
        </xdr:cNvPr>
        <xdr:cNvSpPr/>
      </xdr:nvSpPr>
      <xdr:spPr>
        <a:xfrm>
          <a:off x="2651760" y="2948940"/>
          <a:ext cx="1516380" cy="420043"/>
        </a:xfrm>
        <a:custGeom>
          <a:avLst/>
          <a:gdLst>
            <a:gd name="connsiteX0" fmla="*/ 1821180 w 1821180"/>
            <a:gd name="connsiteY0" fmla="*/ 0 h 275263"/>
            <a:gd name="connsiteX1" fmla="*/ 1455420 w 1821180"/>
            <a:gd name="connsiteY1" fmla="*/ 220980 h 275263"/>
            <a:gd name="connsiteX2" fmla="*/ 320040 w 1821180"/>
            <a:gd name="connsiteY2" fmla="*/ 259080 h 275263"/>
            <a:gd name="connsiteX3" fmla="*/ 0 w 1821180"/>
            <a:gd name="connsiteY3" fmla="*/ 0 h 27526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1821180" h="275263">
              <a:moveTo>
                <a:pt x="1821180" y="0"/>
              </a:moveTo>
              <a:cubicBezTo>
                <a:pt x="1763395" y="88900"/>
                <a:pt x="1705610" y="177800"/>
                <a:pt x="1455420" y="220980"/>
              </a:cubicBezTo>
              <a:cubicBezTo>
                <a:pt x="1205230" y="264160"/>
                <a:pt x="562610" y="295910"/>
                <a:pt x="320040" y="259080"/>
              </a:cubicBezTo>
              <a:cubicBezTo>
                <a:pt x="77470" y="222250"/>
                <a:pt x="38735" y="111125"/>
                <a:pt x="0" y="0"/>
              </a:cubicBezTo>
            </a:path>
          </a:pathLst>
        </a:custGeom>
        <a:noFill/>
        <a:ln>
          <a:headEnd type="none"/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39</xdr:row>
      <xdr:rowOff>121920</xdr:rowOff>
    </xdr:from>
    <xdr:to>
      <xdr:col>6</xdr:col>
      <xdr:colOff>144780</xdr:colOff>
      <xdr:row>41</xdr:row>
      <xdr:rowOff>121920</xdr:rowOff>
    </xdr:to>
    <xdr:sp macro="" textlink="">
      <xdr:nvSpPr>
        <xdr:cNvPr id="2" name="Forma libre: forma 1">
          <a:extLst>
            <a:ext uri="{FF2B5EF4-FFF2-40B4-BE49-F238E27FC236}">
              <a16:creationId xmlns:a16="http://schemas.microsoft.com/office/drawing/2014/main" id="{E000BC89-0D80-43AD-8FB3-3240D3B96092}"/>
            </a:ext>
          </a:extLst>
        </xdr:cNvPr>
        <xdr:cNvSpPr/>
      </xdr:nvSpPr>
      <xdr:spPr>
        <a:xfrm flipV="1">
          <a:off x="6873240" y="6812280"/>
          <a:ext cx="1996440" cy="419100"/>
        </a:xfrm>
        <a:custGeom>
          <a:avLst/>
          <a:gdLst>
            <a:gd name="connsiteX0" fmla="*/ 1821180 w 1821180"/>
            <a:gd name="connsiteY0" fmla="*/ 0 h 275263"/>
            <a:gd name="connsiteX1" fmla="*/ 1455420 w 1821180"/>
            <a:gd name="connsiteY1" fmla="*/ 220980 h 275263"/>
            <a:gd name="connsiteX2" fmla="*/ 320040 w 1821180"/>
            <a:gd name="connsiteY2" fmla="*/ 259080 h 275263"/>
            <a:gd name="connsiteX3" fmla="*/ 0 w 1821180"/>
            <a:gd name="connsiteY3" fmla="*/ 0 h 27526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1821180" h="275263">
              <a:moveTo>
                <a:pt x="1821180" y="0"/>
              </a:moveTo>
              <a:cubicBezTo>
                <a:pt x="1763395" y="88900"/>
                <a:pt x="1705610" y="177800"/>
                <a:pt x="1455420" y="220980"/>
              </a:cubicBezTo>
              <a:cubicBezTo>
                <a:pt x="1205230" y="264160"/>
                <a:pt x="562610" y="295910"/>
                <a:pt x="320040" y="259080"/>
              </a:cubicBezTo>
              <a:cubicBezTo>
                <a:pt x="77470" y="222250"/>
                <a:pt x="38735" y="111125"/>
                <a:pt x="0" y="0"/>
              </a:cubicBezTo>
            </a:path>
          </a:pathLst>
        </a:custGeom>
        <a:noFill/>
        <a:ln>
          <a:headEnd type="none"/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Relationship Id="rId1" Type="http://schemas.openxmlformats.org/officeDocument/2006/relationships/printerSettings" Target="../printerSettings/printerSettings1.bin" 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 /><Relationship Id="rId1" Type="http://schemas.openxmlformats.org/officeDocument/2006/relationships/printerSettings" Target="../printerSettings/printerSettings5.bin" 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 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 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 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 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 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 /><Relationship Id="rId1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1:K132"/>
  <sheetViews>
    <sheetView zoomScaleNormal="100" workbookViewId="0">
      <selection activeCell="A15" sqref="A15:XFD15"/>
    </sheetView>
  </sheetViews>
  <sheetFormatPr defaultColWidth="10.76171875" defaultRowHeight="15" x14ac:dyDescent="0.2"/>
  <cols>
    <col min="2" max="2" width="17.21875" bestFit="1" customWidth="1"/>
    <col min="3" max="5" width="37.6640625" bestFit="1" customWidth="1"/>
    <col min="6" max="6" width="33.765625" bestFit="1" customWidth="1"/>
    <col min="7" max="7" width="34.97265625" bestFit="1" customWidth="1"/>
    <col min="8" max="8" width="26.09765625" bestFit="1" customWidth="1"/>
    <col min="9" max="9" width="33.08984375" bestFit="1" customWidth="1"/>
    <col min="10" max="10" width="37.6640625" bestFit="1" customWidth="1"/>
    <col min="11" max="11" width="33.765625" bestFit="1" customWidth="1"/>
  </cols>
  <sheetData>
    <row r="1" spans="2:11" ht="15.75" thickBot="1" x14ac:dyDescent="0.25"/>
    <row r="2" spans="2:11" ht="19.5" thickBot="1" x14ac:dyDescent="0.3">
      <c r="B2" s="6" t="s">
        <v>5</v>
      </c>
    </row>
    <row r="4" spans="2:11" x14ac:dyDescent="0.2">
      <c r="B4" s="4" t="s">
        <v>6</v>
      </c>
      <c r="C4" s="7">
        <v>1859.1</v>
      </c>
      <c r="D4" s="5"/>
      <c r="E4" s="5"/>
    </row>
    <row r="5" spans="2:11" x14ac:dyDescent="0.2">
      <c r="B5" s="4" t="s">
        <v>7</v>
      </c>
      <c r="C5" s="7">
        <v>11560.9</v>
      </c>
      <c r="D5" s="4" t="s">
        <v>11</v>
      </c>
      <c r="E5" s="7">
        <f>C5-C4</f>
        <v>9701.7999999999993</v>
      </c>
    </row>
    <row r="8" spans="2:11" ht="18" x14ac:dyDescent="0.25">
      <c r="B8" s="10" t="s">
        <v>0</v>
      </c>
      <c r="E8" s="71" t="s">
        <v>1</v>
      </c>
      <c r="G8" s="71" t="s">
        <v>2</v>
      </c>
      <c r="I8" s="72" t="s">
        <v>3</v>
      </c>
      <c r="J8" s="71" t="s">
        <v>10</v>
      </c>
      <c r="K8" s="71" t="s">
        <v>4</v>
      </c>
    </row>
    <row r="9" spans="2:11" x14ac:dyDescent="0.2">
      <c r="B9" s="2">
        <v>40</v>
      </c>
      <c r="C9" s="8">
        <v>0</v>
      </c>
      <c r="D9" s="8">
        <v>0</v>
      </c>
      <c r="E9" s="8">
        <f>C9+D9</f>
        <v>0</v>
      </c>
      <c r="F9" s="3"/>
      <c r="G9" s="8">
        <f>E9</f>
        <v>0</v>
      </c>
      <c r="H9" s="3"/>
      <c r="I9" s="73">
        <f>E9/$E$5*100</f>
        <v>0</v>
      </c>
      <c r="J9" s="8">
        <f>G9/$E$5*100</f>
        <v>0</v>
      </c>
      <c r="K9" s="8">
        <f>100-J9</f>
        <v>100</v>
      </c>
    </row>
    <row r="10" spans="2:11" x14ac:dyDescent="0.2">
      <c r="B10" s="2">
        <v>31.5</v>
      </c>
      <c r="C10" s="8">
        <v>41.1</v>
      </c>
      <c r="D10" s="8">
        <v>0</v>
      </c>
      <c r="E10" s="8">
        <f t="shared" ref="E10:E21" si="0">C10+D10</f>
        <v>41.1</v>
      </c>
      <c r="F10" s="3"/>
      <c r="G10" s="8">
        <f>G9+E10</f>
        <v>41.1</v>
      </c>
      <c r="H10" s="3"/>
      <c r="I10" s="8">
        <f t="shared" ref="I10:I20" si="1">E10/$E$5*100</f>
        <v>0.42363272794739126</v>
      </c>
      <c r="J10" s="8">
        <f t="shared" ref="J10:J20" si="2">G10/$E$5*100</f>
        <v>0.42363272794739126</v>
      </c>
      <c r="K10" s="8">
        <f t="shared" ref="K10:K21" si="3">100-J10</f>
        <v>99.576367272052607</v>
      </c>
    </row>
    <row r="11" spans="2:11" x14ac:dyDescent="0.2">
      <c r="B11" s="2">
        <v>16</v>
      </c>
      <c r="C11" s="8">
        <v>727</v>
      </c>
      <c r="D11" s="8">
        <v>789.9</v>
      </c>
      <c r="E11" s="8">
        <f t="shared" si="0"/>
        <v>1516.9</v>
      </c>
      <c r="F11" s="3"/>
      <c r="G11" s="8">
        <f t="shared" ref="G11:G21" si="4">G10+E11</f>
        <v>1558</v>
      </c>
      <c r="H11" s="3"/>
      <c r="I11" s="8">
        <f t="shared" si="1"/>
        <v>15.635242944608219</v>
      </c>
      <c r="J11" s="8">
        <f t="shared" si="2"/>
        <v>16.058875672555608</v>
      </c>
      <c r="K11" s="8">
        <f t="shared" si="3"/>
        <v>83.941124327444385</v>
      </c>
    </row>
    <row r="12" spans="2:11" x14ac:dyDescent="0.2">
      <c r="B12" s="2">
        <v>12.5</v>
      </c>
      <c r="C12" s="8">
        <v>578.79999999999995</v>
      </c>
      <c r="D12" s="8">
        <v>518.4</v>
      </c>
      <c r="E12" s="8">
        <f t="shared" si="0"/>
        <v>1097.1999999999998</v>
      </c>
      <c r="F12" s="3"/>
      <c r="G12" s="8">
        <f t="shared" si="4"/>
        <v>2655.2</v>
      </c>
      <c r="H12" s="3"/>
      <c r="I12" s="8">
        <f t="shared" si="1"/>
        <v>11.30924158403595</v>
      </c>
      <c r="J12" s="8">
        <f t="shared" si="2"/>
        <v>27.36811725659156</v>
      </c>
      <c r="K12" s="8">
        <f t="shared" si="3"/>
        <v>72.63188274340844</v>
      </c>
    </row>
    <row r="13" spans="2:11" x14ac:dyDescent="0.2">
      <c r="B13" s="2">
        <v>8</v>
      </c>
      <c r="C13" s="8">
        <v>762.3</v>
      </c>
      <c r="D13" s="8">
        <v>767.9</v>
      </c>
      <c r="E13" s="8">
        <f t="shared" si="0"/>
        <v>1530.1999999999998</v>
      </c>
      <c r="F13" s="3"/>
      <c r="G13" s="8">
        <f t="shared" si="4"/>
        <v>4185.3999999999996</v>
      </c>
      <c r="H13" s="3"/>
      <c r="I13" s="8">
        <f t="shared" si="1"/>
        <v>15.772330907666618</v>
      </c>
      <c r="J13" s="8">
        <f t="shared" si="2"/>
        <v>43.140448164258174</v>
      </c>
      <c r="K13" s="8">
        <f t="shared" si="3"/>
        <v>56.859551835741826</v>
      </c>
    </row>
    <row r="14" spans="2:11" x14ac:dyDescent="0.2">
      <c r="B14" s="2">
        <v>4</v>
      </c>
      <c r="C14" s="8">
        <v>885.2</v>
      </c>
      <c r="D14" s="8">
        <v>838.6</v>
      </c>
      <c r="E14" s="8">
        <f t="shared" si="0"/>
        <v>1723.8000000000002</v>
      </c>
      <c r="F14" s="3"/>
      <c r="G14" s="8">
        <f t="shared" si="4"/>
        <v>5909.2</v>
      </c>
      <c r="H14" s="3"/>
      <c r="I14" s="8">
        <f t="shared" si="1"/>
        <v>17.767836896246063</v>
      </c>
      <c r="J14" s="8">
        <f t="shared" si="2"/>
        <v>60.908285060504241</v>
      </c>
      <c r="K14" s="8">
        <f t="shared" si="3"/>
        <v>39.091714939495759</v>
      </c>
    </row>
    <row r="15" spans="2:11" x14ac:dyDescent="0.2">
      <c r="B15" s="2">
        <v>2</v>
      </c>
      <c r="C15" s="8">
        <v>527.29999999999995</v>
      </c>
      <c r="D15" s="8">
        <v>458.8</v>
      </c>
      <c r="E15" s="8">
        <f t="shared" si="0"/>
        <v>986.09999999999991</v>
      </c>
      <c r="F15" s="3"/>
      <c r="G15" s="8">
        <f t="shared" si="4"/>
        <v>6895.2999999999993</v>
      </c>
      <c r="H15" s="3"/>
      <c r="I15" s="8">
        <f t="shared" si="1"/>
        <v>10.164093261044343</v>
      </c>
      <c r="J15" s="8">
        <f t="shared" si="2"/>
        <v>71.072378321548584</v>
      </c>
      <c r="K15" s="8">
        <f t="shared" si="3"/>
        <v>28.927621678451416</v>
      </c>
    </row>
    <row r="16" spans="2:11" x14ac:dyDescent="0.2">
      <c r="B16" s="2">
        <v>1</v>
      </c>
      <c r="C16" s="8">
        <v>390.5</v>
      </c>
      <c r="D16" s="8">
        <v>366.1</v>
      </c>
      <c r="E16" s="8">
        <f t="shared" si="0"/>
        <v>756.6</v>
      </c>
      <c r="F16" s="3"/>
      <c r="G16" s="8">
        <f t="shared" si="4"/>
        <v>7651.9</v>
      </c>
      <c r="H16" s="3"/>
      <c r="I16" s="8">
        <f t="shared" si="1"/>
        <v>7.7985528458636546</v>
      </c>
      <c r="J16" s="8">
        <f t="shared" si="2"/>
        <v>78.870931167412238</v>
      </c>
      <c r="K16" s="8">
        <f t="shared" si="3"/>
        <v>21.129068832587762</v>
      </c>
    </row>
    <row r="17" spans="2:11" x14ac:dyDescent="0.2">
      <c r="B17" s="2">
        <v>0.5</v>
      </c>
      <c r="C17" s="8">
        <v>350.5</v>
      </c>
      <c r="D17" s="8">
        <v>305.3</v>
      </c>
      <c r="E17" s="8">
        <f t="shared" si="0"/>
        <v>655.8</v>
      </c>
      <c r="F17" s="3"/>
      <c r="G17" s="8">
        <f t="shared" si="4"/>
        <v>8307.6999999999989</v>
      </c>
      <c r="H17" s="3"/>
      <c r="I17" s="8">
        <f t="shared" si="1"/>
        <v>6.759570388999979</v>
      </c>
      <c r="J17" s="8">
        <f t="shared" si="2"/>
        <v>85.630501556412213</v>
      </c>
      <c r="K17" s="8">
        <f t="shared" si="3"/>
        <v>14.369498443587787</v>
      </c>
    </row>
    <row r="18" spans="2:11" x14ac:dyDescent="0.2">
      <c r="B18" s="2">
        <v>0.25</v>
      </c>
      <c r="C18" s="8">
        <v>332.2</v>
      </c>
      <c r="D18" s="8">
        <v>271.89999999999998</v>
      </c>
      <c r="E18" s="8">
        <f t="shared" si="0"/>
        <v>604.09999999999991</v>
      </c>
      <c r="F18" s="3"/>
      <c r="G18" s="8">
        <f t="shared" si="4"/>
        <v>8911.7999999999993</v>
      </c>
      <c r="H18" s="3"/>
      <c r="I18" s="8">
        <f t="shared" si="1"/>
        <v>6.2266795852316061</v>
      </c>
      <c r="J18" s="8">
        <f t="shared" si="2"/>
        <v>91.857181141643821</v>
      </c>
      <c r="K18" s="8">
        <f t="shared" si="3"/>
        <v>8.1428188583561791</v>
      </c>
    </row>
    <row r="19" spans="2:11" x14ac:dyDescent="0.2">
      <c r="B19" s="2">
        <v>0.125</v>
      </c>
      <c r="C19" s="8">
        <v>201</v>
      </c>
      <c r="D19" s="8">
        <v>168</v>
      </c>
      <c r="E19" s="8">
        <f t="shared" si="0"/>
        <v>369</v>
      </c>
      <c r="F19" s="3"/>
      <c r="G19" s="8">
        <f t="shared" si="4"/>
        <v>9280.7999999999993</v>
      </c>
      <c r="H19" s="3"/>
      <c r="I19" s="8">
        <f t="shared" si="1"/>
        <v>3.8034179224473808</v>
      </c>
      <c r="J19" s="8">
        <f t="shared" si="2"/>
        <v>95.660599064091201</v>
      </c>
      <c r="K19" s="8">
        <f t="shared" si="3"/>
        <v>4.3394009359087988</v>
      </c>
    </row>
    <row r="20" spans="2:11" x14ac:dyDescent="0.2">
      <c r="B20" s="2">
        <v>6.3E-2</v>
      </c>
      <c r="C20" s="8">
        <v>105.1</v>
      </c>
      <c r="D20" s="8">
        <v>86</v>
      </c>
      <c r="E20" s="8">
        <f t="shared" si="0"/>
        <v>191.1</v>
      </c>
      <c r="F20" s="3" t="s">
        <v>8</v>
      </c>
      <c r="G20" s="8">
        <f t="shared" si="4"/>
        <v>9471.9</v>
      </c>
      <c r="H20" s="3" t="s">
        <v>8</v>
      </c>
      <c r="I20" s="8">
        <f t="shared" si="1"/>
        <v>1.9697375744707166</v>
      </c>
      <c r="J20" s="8">
        <f t="shared" si="2"/>
        <v>97.630336638561914</v>
      </c>
      <c r="K20" s="8">
        <f t="shared" si="3"/>
        <v>2.3696633614380858</v>
      </c>
    </row>
    <row r="21" spans="2:11" x14ac:dyDescent="0.2">
      <c r="B21" s="2" t="s">
        <v>12</v>
      </c>
      <c r="C21" s="8">
        <v>119.2</v>
      </c>
      <c r="D21" s="8">
        <v>104.8</v>
      </c>
      <c r="E21" s="8">
        <f t="shared" si="0"/>
        <v>224</v>
      </c>
      <c r="F21" s="8">
        <f>$E$5-(SUM(E9:E20))</f>
        <v>229.89999999999964</v>
      </c>
      <c r="G21" s="8">
        <f t="shared" si="4"/>
        <v>9695.9</v>
      </c>
      <c r="H21" s="8">
        <f>G20+F21</f>
        <v>9701.7999999999993</v>
      </c>
      <c r="I21" s="8">
        <f>F21/$E$5*100</f>
        <v>2.36966336143808</v>
      </c>
      <c r="J21" s="8">
        <f>H21/$E$5*100</f>
        <v>100</v>
      </c>
      <c r="K21" s="8">
        <f t="shared" si="3"/>
        <v>0</v>
      </c>
    </row>
    <row r="23" spans="2:11" x14ac:dyDescent="0.2">
      <c r="C23" t="s">
        <v>13</v>
      </c>
      <c r="D23" s="9">
        <f>SUM(C9:D21)</f>
        <v>9695.9000000000015</v>
      </c>
      <c r="I23" t="s">
        <v>9</v>
      </c>
    </row>
    <row r="24" spans="2:11" x14ac:dyDescent="0.2">
      <c r="D24" t="s">
        <v>14</v>
      </c>
      <c r="I24" s="1">
        <f>SUM(I9:I21)</f>
        <v>100</v>
      </c>
    </row>
    <row r="26" spans="2:11" ht="15.75" thickBot="1" x14ac:dyDescent="0.25"/>
    <row r="27" spans="2:11" ht="19.5" thickBot="1" x14ac:dyDescent="0.3">
      <c r="B27" s="6" t="s">
        <v>15</v>
      </c>
    </row>
    <row r="29" spans="2:11" x14ac:dyDescent="0.2">
      <c r="B29" s="4" t="s">
        <v>6</v>
      </c>
      <c r="C29" s="7">
        <v>1851.1</v>
      </c>
      <c r="D29" s="5"/>
      <c r="E29" s="5"/>
    </row>
    <row r="30" spans="2:11" x14ac:dyDescent="0.2">
      <c r="B30" s="4" t="s">
        <v>7</v>
      </c>
      <c r="C30" s="7">
        <v>12793.9</v>
      </c>
      <c r="D30" s="4" t="s">
        <v>11</v>
      </c>
      <c r="E30" s="7">
        <f>C30-C29</f>
        <v>10942.8</v>
      </c>
    </row>
    <row r="33" spans="2:11" ht="18" x14ac:dyDescent="0.25">
      <c r="B33" s="10" t="s">
        <v>0</v>
      </c>
      <c r="E33" s="71" t="s">
        <v>1</v>
      </c>
      <c r="G33" s="71" t="s">
        <v>2</v>
      </c>
      <c r="I33" s="71" t="s">
        <v>3</v>
      </c>
      <c r="J33" s="71" t="s">
        <v>10</v>
      </c>
      <c r="K33" s="71" t="s">
        <v>4</v>
      </c>
    </row>
    <row r="34" spans="2:11" x14ac:dyDescent="0.2">
      <c r="B34" s="2">
        <v>40</v>
      </c>
      <c r="C34" s="8">
        <v>112</v>
      </c>
      <c r="D34" s="8">
        <v>0</v>
      </c>
      <c r="E34" s="8">
        <f>C34+D34</f>
        <v>112</v>
      </c>
      <c r="F34" s="3"/>
      <c r="G34" s="8">
        <f>E34</f>
        <v>112</v>
      </c>
      <c r="H34" s="3"/>
      <c r="I34" s="8">
        <f>E34/$E$30*100</f>
        <v>1.0235040391855834</v>
      </c>
      <c r="J34" s="8">
        <f>G34/$E$30*100</f>
        <v>1.0235040391855834</v>
      </c>
      <c r="K34" s="8">
        <f>100-J34</f>
        <v>98.976495960814418</v>
      </c>
    </row>
    <row r="35" spans="2:11" x14ac:dyDescent="0.2">
      <c r="B35" s="2">
        <v>31.5</v>
      </c>
      <c r="C35" s="8">
        <v>0</v>
      </c>
      <c r="D35" s="8">
        <v>102.1</v>
      </c>
      <c r="E35" s="8">
        <f t="shared" ref="E35:E46" si="5">C35+D35</f>
        <v>102.1</v>
      </c>
      <c r="F35" s="3"/>
      <c r="G35" s="8">
        <f>G34+E35</f>
        <v>214.1</v>
      </c>
      <c r="H35" s="3"/>
      <c r="I35" s="8">
        <f t="shared" ref="I35:I45" si="6">E35/$E$30*100</f>
        <v>0.93303359286471477</v>
      </c>
      <c r="J35" s="8">
        <f t="shared" ref="J35:J45" si="7">G35/$E$30*100</f>
        <v>1.9565376320502981</v>
      </c>
      <c r="K35" s="8">
        <f t="shared" ref="K35:K46" si="8">100-J35</f>
        <v>98.043462367949701</v>
      </c>
    </row>
    <row r="36" spans="2:11" x14ac:dyDescent="0.2">
      <c r="B36" s="2">
        <v>16</v>
      </c>
      <c r="C36" s="8">
        <v>1253.9000000000001</v>
      </c>
      <c r="D36" s="8">
        <v>1380.5</v>
      </c>
      <c r="E36" s="8">
        <f t="shared" si="5"/>
        <v>2634.4</v>
      </c>
      <c r="F36" s="3"/>
      <c r="G36" s="8">
        <f t="shared" ref="G36:G46" si="9">G35+E36</f>
        <v>2848.5</v>
      </c>
      <c r="H36" s="3"/>
      <c r="I36" s="8">
        <f t="shared" si="6"/>
        <v>24.074277150272327</v>
      </c>
      <c r="J36" s="8">
        <f t="shared" si="7"/>
        <v>26.030814782322626</v>
      </c>
      <c r="K36" s="8">
        <f t="shared" si="8"/>
        <v>73.969185217677378</v>
      </c>
    </row>
    <row r="37" spans="2:11" x14ac:dyDescent="0.2">
      <c r="B37" s="2">
        <v>12.5</v>
      </c>
      <c r="C37" s="8">
        <v>800.3</v>
      </c>
      <c r="D37" s="8">
        <v>714.4</v>
      </c>
      <c r="E37" s="8">
        <f t="shared" si="5"/>
        <v>1514.6999999999998</v>
      </c>
      <c r="F37" s="3"/>
      <c r="G37" s="8">
        <f t="shared" si="9"/>
        <v>4363.2</v>
      </c>
      <c r="H37" s="3"/>
      <c r="I37" s="8">
        <f t="shared" si="6"/>
        <v>13.841978287092882</v>
      </c>
      <c r="J37" s="8">
        <f t="shared" si="7"/>
        <v>39.872793069415508</v>
      </c>
      <c r="K37" s="8">
        <f t="shared" si="8"/>
        <v>60.127206930584492</v>
      </c>
    </row>
    <row r="38" spans="2:11" x14ac:dyDescent="0.2">
      <c r="B38" s="2">
        <v>8</v>
      </c>
      <c r="C38" s="8">
        <v>954.6</v>
      </c>
      <c r="D38" s="8">
        <v>912.8</v>
      </c>
      <c r="E38" s="8">
        <f t="shared" si="5"/>
        <v>1867.4</v>
      </c>
      <c r="F38" s="3"/>
      <c r="G38" s="8">
        <f t="shared" si="9"/>
        <v>6230.6</v>
      </c>
      <c r="H38" s="3"/>
      <c r="I38" s="8">
        <f t="shared" si="6"/>
        <v>17.065102167635342</v>
      </c>
      <c r="J38" s="8">
        <f t="shared" si="7"/>
        <v>56.937895237050853</v>
      </c>
      <c r="K38" s="8">
        <f t="shared" si="8"/>
        <v>43.062104762949147</v>
      </c>
    </row>
    <row r="39" spans="2:11" x14ac:dyDescent="0.2">
      <c r="B39" s="2">
        <v>4</v>
      </c>
      <c r="C39" s="8">
        <v>1043.3</v>
      </c>
      <c r="D39" s="8">
        <v>741.9</v>
      </c>
      <c r="E39" s="8">
        <f t="shared" si="5"/>
        <v>1785.1999999999998</v>
      </c>
      <c r="F39" s="3"/>
      <c r="G39" s="8">
        <f t="shared" si="9"/>
        <v>8015.8</v>
      </c>
      <c r="H39" s="3"/>
      <c r="I39" s="8">
        <f t="shared" si="6"/>
        <v>16.313923310304492</v>
      </c>
      <c r="J39" s="8">
        <f t="shared" si="7"/>
        <v>73.251818547355342</v>
      </c>
      <c r="K39" s="8">
        <f t="shared" si="8"/>
        <v>26.748181452644658</v>
      </c>
    </row>
    <row r="40" spans="2:11" x14ac:dyDescent="0.2">
      <c r="B40" s="2">
        <v>2</v>
      </c>
      <c r="C40" s="8">
        <v>508.5</v>
      </c>
      <c r="D40" s="8">
        <v>355.7</v>
      </c>
      <c r="E40" s="8">
        <f t="shared" si="5"/>
        <v>864.2</v>
      </c>
      <c r="F40" s="3"/>
      <c r="G40" s="8">
        <f t="shared" si="9"/>
        <v>8880</v>
      </c>
      <c r="H40" s="3"/>
      <c r="I40" s="8">
        <f t="shared" si="6"/>
        <v>7.8974302737873314</v>
      </c>
      <c r="J40" s="8">
        <f t="shared" si="7"/>
        <v>81.149248821142677</v>
      </c>
      <c r="K40" s="8">
        <f t="shared" si="8"/>
        <v>18.850751178857323</v>
      </c>
    </row>
    <row r="41" spans="2:11" x14ac:dyDescent="0.2">
      <c r="B41" s="2">
        <v>1</v>
      </c>
      <c r="C41" s="8">
        <v>373.2</v>
      </c>
      <c r="D41" s="8">
        <v>260.10000000000002</v>
      </c>
      <c r="E41" s="8">
        <f t="shared" si="5"/>
        <v>633.29999999999995</v>
      </c>
      <c r="F41" s="3"/>
      <c r="G41" s="8">
        <f t="shared" si="9"/>
        <v>9513.2999999999993</v>
      </c>
      <c r="H41" s="3"/>
      <c r="I41" s="8">
        <f t="shared" si="6"/>
        <v>5.7873670358591953</v>
      </c>
      <c r="J41" s="8">
        <f t="shared" si="7"/>
        <v>86.936615857001868</v>
      </c>
      <c r="K41" s="8">
        <f t="shared" si="8"/>
        <v>13.063384142998132</v>
      </c>
    </row>
    <row r="42" spans="2:11" x14ac:dyDescent="0.2">
      <c r="B42" s="2">
        <v>0.5</v>
      </c>
      <c r="C42" s="8">
        <v>294.39999999999998</v>
      </c>
      <c r="D42" s="8">
        <v>213.3</v>
      </c>
      <c r="E42" s="8">
        <f t="shared" si="5"/>
        <v>507.7</v>
      </c>
      <c r="F42" s="3"/>
      <c r="G42" s="8">
        <f t="shared" si="9"/>
        <v>10021</v>
      </c>
      <c r="H42" s="3"/>
      <c r="I42" s="8">
        <f t="shared" si="6"/>
        <v>4.6395803633439341</v>
      </c>
      <c r="J42" s="8">
        <f t="shared" si="7"/>
        <v>91.576196220345807</v>
      </c>
      <c r="K42" s="8">
        <f t="shared" si="8"/>
        <v>8.4238037796541931</v>
      </c>
    </row>
    <row r="43" spans="2:11" x14ac:dyDescent="0.2">
      <c r="B43" s="2">
        <v>0.25</v>
      </c>
      <c r="C43" s="8">
        <v>227.1</v>
      </c>
      <c r="D43" s="8">
        <v>167.9</v>
      </c>
      <c r="E43" s="8">
        <f t="shared" si="5"/>
        <v>395</v>
      </c>
      <c r="F43" s="3"/>
      <c r="G43" s="8">
        <f t="shared" si="9"/>
        <v>10416</v>
      </c>
      <c r="H43" s="3"/>
      <c r="I43" s="8">
        <f t="shared" si="6"/>
        <v>3.6096794239134407</v>
      </c>
      <c r="J43" s="8">
        <f t="shared" si="7"/>
        <v>95.185875644259241</v>
      </c>
      <c r="K43" s="8">
        <f t="shared" si="8"/>
        <v>4.8141243557407591</v>
      </c>
    </row>
    <row r="44" spans="2:11" x14ac:dyDescent="0.2">
      <c r="B44" s="2">
        <v>0.125</v>
      </c>
      <c r="C44" s="8">
        <v>131.5</v>
      </c>
      <c r="D44" s="8">
        <v>96.9</v>
      </c>
      <c r="E44" s="8">
        <f t="shared" si="5"/>
        <v>228.4</v>
      </c>
      <c r="F44" s="3"/>
      <c r="G44" s="8">
        <f t="shared" si="9"/>
        <v>10644.4</v>
      </c>
      <c r="H44" s="3"/>
      <c r="I44" s="8">
        <f t="shared" si="6"/>
        <v>2.0872171656248861</v>
      </c>
      <c r="J44" s="8">
        <f t="shared" si="7"/>
        <v>97.273092809884133</v>
      </c>
      <c r="K44" s="8">
        <f t="shared" si="8"/>
        <v>2.7269071901158668</v>
      </c>
    </row>
    <row r="45" spans="2:11" x14ac:dyDescent="0.2">
      <c r="B45" s="2">
        <v>6.3E-2</v>
      </c>
      <c r="C45" s="8">
        <v>70.7</v>
      </c>
      <c r="D45" s="8">
        <v>53.4</v>
      </c>
      <c r="E45" s="8">
        <f t="shared" si="5"/>
        <v>124.1</v>
      </c>
      <c r="F45" s="3" t="s">
        <v>8</v>
      </c>
      <c r="G45" s="8">
        <f t="shared" si="9"/>
        <v>10768.5</v>
      </c>
      <c r="H45" s="3" t="s">
        <v>8</v>
      </c>
      <c r="I45" s="8">
        <f t="shared" si="6"/>
        <v>1.1340790291333114</v>
      </c>
      <c r="J45" s="8">
        <f t="shared" si="7"/>
        <v>98.407171839017437</v>
      </c>
      <c r="K45" s="8">
        <f t="shared" si="8"/>
        <v>1.5928281609825632</v>
      </c>
    </row>
    <row r="46" spans="2:11" x14ac:dyDescent="0.2">
      <c r="B46" s="2" t="s">
        <v>12</v>
      </c>
      <c r="C46" s="8">
        <v>90.2</v>
      </c>
      <c r="D46" s="8">
        <v>66.599999999999994</v>
      </c>
      <c r="E46" s="8">
        <f t="shared" si="5"/>
        <v>156.80000000000001</v>
      </c>
      <c r="F46" s="8">
        <f>$E$30-(SUM(E34:E45))</f>
        <v>174.29999999999927</v>
      </c>
      <c r="G46" s="8">
        <f t="shared" si="9"/>
        <v>10925.3</v>
      </c>
      <c r="H46" s="8">
        <f>G45+F46</f>
        <v>10942.8</v>
      </c>
      <c r="I46" s="8">
        <f>F46/$E$30*100</f>
        <v>1.5928281609825574</v>
      </c>
      <c r="J46" s="8">
        <f>H46/$E$30*100</f>
        <v>100</v>
      </c>
      <c r="K46" s="8">
        <f t="shared" si="8"/>
        <v>0</v>
      </c>
    </row>
    <row r="48" spans="2:11" x14ac:dyDescent="0.2">
      <c r="C48" t="s">
        <v>13</v>
      </c>
      <c r="D48" s="9">
        <f>SUM(C34:D46)</f>
        <v>10925.300000000001</v>
      </c>
      <c r="I48" t="s">
        <v>9</v>
      </c>
    </row>
    <row r="49" spans="2:10" x14ac:dyDescent="0.2">
      <c r="D49" t="s">
        <v>14</v>
      </c>
      <c r="I49" s="1">
        <f>SUM(I34:I46)</f>
        <v>100.00000000000001</v>
      </c>
    </row>
    <row r="51" spans="2:10" ht="15.75" thickBot="1" x14ac:dyDescent="0.25"/>
    <row r="52" spans="2:10" ht="19.5" thickBot="1" x14ac:dyDescent="0.3">
      <c r="B52" s="6" t="s">
        <v>16</v>
      </c>
    </row>
    <row r="54" spans="2:10" ht="18" x14ac:dyDescent="0.25">
      <c r="C54" s="10" t="s">
        <v>10</v>
      </c>
      <c r="D54" s="10" t="s">
        <v>10</v>
      </c>
      <c r="E54" s="10" t="s">
        <v>10</v>
      </c>
      <c r="F54" s="10" t="s">
        <v>4</v>
      </c>
    </row>
    <row r="55" spans="2:10" ht="18" x14ac:dyDescent="0.25">
      <c r="B55" s="10" t="s">
        <v>0</v>
      </c>
      <c r="C55" s="10" t="s">
        <v>5</v>
      </c>
      <c r="D55" s="10" t="s">
        <v>15</v>
      </c>
      <c r="E55" s="10" t="s">
        <v>17</v>
      </c>
      <c r="F55" s="10" t="s">
        <v>17</v>
      </c>
    </row>
    <row r="56" spans="2:10" x14ac:dyDescent="0.2">
      <c r="B56" s="13">
        <v>40</v>
      </c>
      <c r="C56" s="8">
        <f>J9</f>
        <v>0</v>
      </c>
      <c r="D56" s="8">
        <f>J34</f>
        <v>1.0235040391855834</v>
      </c>
      <c r="E56" s="8">
        <f>(C56+D56)/2</f>
        <v>0.51175201959279171</v>
      </c>
      <c r="F56" s="8">
        <f>100-E56</f>
        <v>99.488247980407209</v>
      </c>
    </row>
    <row r="57" spans="2:10" x14ac:dyDescent="0.2">
      <c r="B57" s="8">
        <v>31.5</v>
      </c>
      <c r="C57" s="8">
        <f t="shared" ref="C57:C68" si="10">J10</f>
        <v>0.42363272794739126</v>
      </c>
      <c r="D57" s="8">
        <f t="shared" ref="D57:D68" si="11">J35</f>
        <v>1.9565376320502981</v>
      </c>
      <c r="E57" s="8">
        <f t="shared" ref="E57:E68" si="12">(C57+D57)/2</f>
        <v>1.1900851799988446</v>
      </c>
      <c r="F57" s="8">
        <f t="shared" ref="F57:F68" si="13">100-E57</f>
        <v>98.809914820001154</v>
      </c>
      <c r="G57" s="14" t="s">
        <v>18</v>
      </c>
      <c r="H57" s="18">
        <v>31.5</v>
      </c>
    </row>
    <row r="58" spans="2:10" x14ac:dyDescent="0.2">
      <c r="B58" s="13">
        <v>16</v>
      </c>
      <c r="C58" s="8">
        <f t="shared" si="10"/>
        <v>16.058875672555608</v>
      </c>
      <c r="D58" s="8">
        <f t="shared" si="11"/>
        <v>26.030814782322626</v>
      </c>
      <c r="E58" s="8">
        <f t="shared" si="12"/>
        <v>21.044845227439119</v>
      </c>
      <c r="F58" s="8">
        <f t="shared" si="13"/>
        <v>78.955154772560888</v>
      </c>
      <c r="G58" s="14" t="s">
        <v>19</v>
      </c>
      <c r="H58" s="19">
        <v>0.25</v>
      </c>
    </row>
    <row r="59" spans="2:10" x14ac:dyDescent="0.2">
      <c r="B59" s="8">
        <v>12.5</v>
      </c>
      <c r="C59" s="8">
        <f t="shared" si="10"/>
        <v>27.36811725659156</v>
      </c>
      <c r="D59" s="8">
        <f t="shared" si="11"/>
        <v>39.872793069415508</v>
      </c>
      <c r="E59" s="26">
        <f t="shared" si="12"/>
        <v>33.620455163003534</v>
      </c>
      <c r="F59" s="8">
        <f t="shared" si="13"/>
        <v>66.379544836996473</v>
      </c>
      <c r="H59" s="20"/>
    </row>
    <row r="60" spans="2:10" ht="18" x14ac:dyDescent="0.25">
      <c r="B60" s="13">
        <v>8</v>
      </c>
      <c r="C60" s="8">
        <f t="shared" si="10"/>
        <v>43.140448164258174</v>
      </c>
      <c r="D60" s="8">
        <f t="shared" si="11"/>
        <v>56.937895237050853</v>
      </c>
      <c r="E60" s="26">
        <f t="shared" si="12"/>
        <v>50.039171700654514</v>
      </c>
      <c r="F60" s="8">
        <f t="shared" si="13"/>
        <v>49.960828299345486</v>
      </c>
      <c r="H60" s="10" t="s">
        <v>5</v>
      </c>
      <c r="I60" s="10" t="s">
        <v>15</v>
      </c>
      <c r="J60" s="10" t="s">
        <v>17</v>
      </c>
    </row>
    <row r="61" spans="2:10" ht="18" x14ac:dyDescent="0.3">
      <c r="B61" s="13">
        <v>4</v>
      </c>
      <c r="C61" s="8">
        <f t="shared" si="10"/>
        <v>60.908285060504241</v>
      </c>
      <c r="D61" s="8">
        <f t="shared" si="11"/>
        <v>73.251818547355342</v>
      </c>
      <c r="E61" s="26">
        <f t="shared" si="12"/>
        <v>67.080051803929791</v>
      </c>
      <c r="F61" s="8">
        <f t="shared" si="13"/>
        <v>32.919948196070209</v>
      </c>
      <c r="G61" s="15" t="s">
        <v>20</v>
      </c>
      <c r="H61" s="21">
        <f>SUM(C56:C68)/100</f>
        <v>7.6862128677152688</v>
      </c>
      <c r="I61" s="21">
        <f>SUM(D56:D68)/100</f>
        <v>8.4960156449903135</v>
      </c>
      <c r="J61" s="21">
        <f>SUM(E56:E68)/100</f>
        <v>8.0911142563527907</v>
      </c>
    </row>
    <row r="62" spans="2:10" x14ac:dyDescent="0.2">
      <c r="B62" s="13">
        <v>2</v>
      </c>
      <c r="C62" s="8">
        <f t="shared" si="10"/>
        <v>71.072378321548584</v>
      </c>
      <c r="D62" s="8">
        <f t="shared" si="11"/>
        <v>81.149248821142677</v>
      </c>
      <c r="E62" s="8">
        <f t="shared" si="12"/>
        <v>76.110813571345631</v>
      </c>
      <c r="F62" s="8">
        <f t="shared" si="13"/>
        <v>23.889186428654369</v>
      </c>
    </row>
    <row r="63" spans="2:10" x14ac:dyDescent="0.2">
      <c r="B63" s="13">
        <v>1</v>
      </c>
      <c r="C63" s="8">
        <f t="shared" si="10"/>
        <v>78.870931167412238</v>
      </c>
      <c r="D63" s="8">
        <f t="shared" si="11"/>
        <v>86.936615857001868</v>
      </c>
      <c r="E63" s="8">
        <f t="shared" si="12"/>
        <v>82.903773512207053</v>
      </c>
      <c r="F63" s="8">
        <f t="shared" si="13"/>
        <v>17.096226487792947</v>
      </c>
      <c r="G63" s="15" t="s">
        <v>21</v>
      </c>
      <c r="H63" s="22" t="s">
        <v>22</v>
      </c>
    </row>
    <row r="64" spans="2:10" x14ac:dyDescent="0.2">
      <c r="B64" s="12">
        <v>0.5</v>
      </c>
      <c r="C64" s="8">
        <f t="shared" si="10"/>
        <v>85.630501556412213</v>
      </c>
      <c r="D64" s="8">
        <f t="shared" si="11"/>
        <v>91.576196220345807</v>
      </c>
      <c r="E64" s="8">
        <f t="shared" si="12"/>
        <v>88.603348888379003</v>
      </c>
      <c r="F64" s="8">
        <f t="shared" si="13"/>
        <v>11.396651111620997</v>
      </c>
      <c r="G64" s="15" t="s">
        <v>23</v>
      </c>
      <c r="H64" s="23" t="s">
        <v>25</v>
      </c>
      <c r="I64" t="s">
        <v>24</v>
      </c>
    </row>
    <row r="65" spans="2:11" x14ac:dyDescent="0.2">
      <c r="B65" s="12">
        <v>0.25</v>
      </c>
      <c r="C65" s="8">
        <f t="shared" si="10"/>
        <v>91.857181141643821</v>
      </c>
      <c r="D65" s="8">
        <f t="shared" si="11"/>
        <v>95.185875644259241</v>
      </c>
      <c r="E65" s="8">
        <f t="shared" si="12"/>
        <v>93.521528392951524</v>
      </c>
      <c r="F65" s="8">
        <f t="shared" si="13"/>
        <v>6.4784716070484762</v>
      </c>
    </row>
    <row r="66" spans="2:11" ht="18" x14ac:dyDescent="0.25">
      <c r="B66" s="12">
        <v>0.125</v>
      </c>
      <c r="C66" s="8">
        <f t="shared" si="10"/>
        <v>95.660599064091201</v>
      </c>
      <c r="D66" s="8">
        <f t="shared" si="11"/>
        <v>97.273092809884133</v>
      </c>
      <c r="E66" s="8">
        <f t="shared" si="12"/>
        <v>96.466845936987667</v>
      </c>
      <c r="F66" s="8">
        <f t="shared" si="13"/>
        <v>3.5331540630123328</v>
      </c>
      <c r="H66" s="10" t="s">
        <v>5</v>
      </c>
      <c r="I66" s="10" t="s">
        <v>15</v>
      </c>
      <c r="J66" s="10" t="s">
        <v>17</v>
      </c>
    </row>
    <row r="67" spans="2:11" x14ac:dyDescent="0.2">
      <c r="B67" s="12">
        <v>6.3E-2</v>
      </c>
      <c r="C67" s="8">
        <f t="shared" si="10"/>
        <v>97.630336638561914</v>
      </c>
      <c r="D67" s="8">
        <f t="shared" si="11"/>
        <v>98.407171839017437</v>
      </c>
      <c r="E67" s="8">
        <f t="shared" si="12"/>
        <v>98.018754238789683</v>
      </c>
      <c r="F67" s="8">
        <f t="shared" si="13"/>
        <v>1.9812457612103174</v>
      </c>
      <c r="G67" s="15" t="s">
        <v>28</v>
      </c>
      <c r="H67" s="2">
        <f>229.9</f>
        <v>229.9</v>
      </c>
      <c r="I67" s="2">
        <f>174.3</f>
        <v>174.3</v>
      </c>
      <c r="J67" s="8">
        <f>AVERAGE(H67:I67)</f>
        <v>202.10000000000002</v>
      </c>
    </row>
    <row r="68" spans="2:11" x14ac:dyDescent="0.2">
      <c r="B68" s="13">
        <v>0</v>
      </c>
      <c r="C68" s="8">
        <f t="shared" si="10"/>
        <v>100</v>
      </c>
      <c r="D68" s="8">
        <f t="shared" si="11"/>
        <v>100</v>
      </c>
      <c r="E68" s="8">
        <f t="shared" si="12"/>
        <v>100</v>
      </c>
      <c r="F68" s="8">
        <f t="shared" si="13"/>
        <v>0</v>
      </c>
      <c r="G68" s="24" t="s">
        <v>27</v>
      </c>
      <c r="H68" s="8">
        <f>E5</f>
        <v>9701.7999999999993</v>
      </c>
      <c r="I68" s="8">
        <f>E30</f>
        <v>10942.8</v>
      </c>
      <c r="J68" s="8">
        <f>AVERAGE(H68:I68)</f>
        <v>10322.299999999999</v>
      </c>
    </row>
    <row r="69" spans="2:11" x14ac:dyDescent="0.2">
      <c r="G69" s="24" t="s">
        <v>30</v>
      </c>
      <c r="H69" s="17">
        <f>100*H67/H68</f>
        <v>2.369663361438084</v>
      </c>
      <c r="I69" s="17">
        <f>I67*100/I68</f>
        <v>1.5928281609825641</v>
      </c>
      <c r="J69" s="17">
        <f>J67*100/J68</f>
        <v>1.957896980324153</v>
      </c>
      <c r="K69" s="25" t="s">
        <v>29</v>
      </c>
    </row>
    <row r="70" spans="2:11" x14ac:dyDescent="0.2">
      <c r="G70" t="s">
        <v>26</v>
      </c>
      <c r="K70" s="25" t="s">
        <v>31</v>
      </c>
    </row>
    <row r="74" spans="2:11" x14ac:dyDescent="0.2">
      <c r="I74" s="27" t="s">
        <v>32</v>
      </c>
      <c r="J74" s="28">
        <f>E61-E59</f>
        <v>33.459596640926257</v>
      </c>
    </row>
    <row r="122" spans="3:3" x14ac:dyDescent="0.2">
      <c r="C122" s="8"/>
    </row>
    <row r="123" spans="3:3" x14ac:dyDescent="0.2">
      <c r="C123" s="8"/>
    </row>
    <row r="124" spans="3:3" x14ac:dyDescent="0.2">
      <c r="C124" s="8"/>
    </row>
    <row r="125" spans="3:3" x14ac:dyDescent="0.2">
      <c r="C125" s="8"/>
    </row>
    <row r="126" spans="3:3" x14ac:dyDescent="0.2">
      <c r="C126" s="8"/>
    </row>
    <row r="127" spans="3:3" x14ac:dyDescent="0.2">
      <c r="C127" s="8"/>
    </row>
    <row r="128" spans="3:3" x14ac:dyDescent="0.2">
      <c r="C128" s="8"/>
    </row>
    <row r="129" spans="3:3" x14ac:dyDescent="0.2">
      <c r="C129" s="8"/>
    </row>
    <row r="130" spans="3:3" x14ac:dyDescent="0.2">
      <c r="C130" s="8"/>
    </row>
    <row r="131" spans="3:3" x14ac:dyDescent="0.2">
      <c r="C131" s="8"/>
    </row>
    <row r="132" spans="3:3" x14ac:dyDescent="0.2">
      <c r="C132" s="8"/>
    </row>
  </sheetData>
  <pageMargins left="0.7" right="0.7" top="0.75" bottom="0.75" header="0.3" footer="0.3"/>
  <pageSetup paperSize="9" orientation="portrait" horizontalDpi="4294967292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7"/>
  <dimension ref="B1:F26"/>
  <sheetViews>
    <sheetView topLeftCell="A16" workbookViewId="0">
      <selection activeCell="D10" sqref="D10"/>
    </sheetView>
  </sheetViews>
  <sheetFormatPr defaultColWidth="10.76171875" defaultRowHeight="15" x14ac:dyDescent="0.2"/>
  <cols>
    <col min="2" max="2" width="42.23828125" bestFit="1" customWidth="1"/>
    <col min="4" max="4" width="33.359375" bestFit="1" customWidth="1"/>
    <col min="6" max="6" width="16.140625" bestFit="1" customWidth="1"/>
  </cols>
  <sheetData>
    <row r="1" spans="2:6" ht="15.75" thickBot="1" x14ac:dyDescent="0.25"/>
    <row r="2" spans="2:6" ht="19.5" thickBot="1" x14ac:dyDescent="0.3">
      <c r="B2" s="6" t="s">
        <v>5</v>
      </c>
    </row>
    <row r="4" spans="2:6" x14ac:dyDescent="0.2">
      <c r="B4" s="45" t="s">
        <v>98</v>
      </c>
      <c r="C4" s="46">
        <v>383.5</v>
      </c>
    </row>
    <row r="5" spans="2:6" x14ac:dyDescent="0.2">
      <c r="B5" s="45" t="s">
        <v>99</v>
      </c>
      <c r="C5" s="46">
        <f>5384.7</f>
        <v>5384.7</v>
      </c>
      <c r="D5" s="60" t="s">
        <v>11</v>
      </c>
      <c r="E5" s="46">
        <f>C5-C4</f>
        <v>5001.2</v>
      </c>
      <c r="F5" s="32" t="s">
        <v>105</v>
      </c>
    </row>
    <row r="6" spans="2:6" x14ac:dyDescent="0.2">
      <c r="C6" s="44"/>
    </row>
    <row r="7" spans="2:6" x14ac:dyDescent="0.2">
      <c r="B7" s="45" t="s">
        <v>100</v>
      </c>
      <c r="C7" s="46">
        <v>1092.5999999999999</v>
      </c>
    </row>
    <row r="8" spans="2:6" x14ac:dyDescent="0.2">
      <c r="B8" s="45" t="s">
        <v>106</v>
      </c>
      <c r="C8" s="46">
        <v>4377.8</v>
      </c>
      <c r="D8" s="60" t="s">
        <v>108</v>
      </c>
      <c r="E8" s="46">
        <f>C8-C7</f>
        <v>3285.2000000000003</v>
      </c>
    </row>
    <row r="9" spans="2:6" x14ac:dyDescent="0.2">
      <c r="E9" s="44"/>
    </row>
    <row r="10" spans="2:6" x14ac:dyDescent="0.2">
      <c r="D10" s="54" t="s">
        <v>107</v>
      </c>
      <c r="E10" s="61">
        <f>(5000-E8)/50</f>
        <v>34.295999999999992</v>
      </c>
    </row>
    <row r="12" spans="2:6" ht="15.75" thickBot="1" x14ac:dyDescent="0.25"/>
    <row r="13" spans="2:6" ht="19.5" thickBot="1" x14ac:dyDescent="0.3">
      <c r="B13" s="6" t="s">
        <v>15</v>
      </c>
    </row>
    <row r="15" spans="2:6" x14ac:dyDescent="0.2">
      <c r="B15" s="45" t="s">
        <v>98</v>
      </c>
      <c r="C15" s="46">
        <v>485.5</v>
      </c>
    </row>
    <row r="16" spans="2:6" x14ac:dyDescent="0.2">
      <c r="B16" s="45" t="s">
        <v>99</v>
      </c>
      <c r="C16" s="46">
        <v>5485</v>
      </c>
      <c r="D16" s="60" t="s">
        <v>11</v>
      </c>
      <c r="E16" s="46">
        <f>C16-C15</f>
        <v>4999.5</v>
      </c>
      <c r="F16" s="32" t="s">
        <v>105</v>
      </c>
    </row>
    <row r="17" spans="2:6" x14ac:dyDescent="0.2">
      <c r="C17" s="44"/>
    </row>
    <row r="18" spans="2:6" x14ac:dyDescent="0.2">
      <c r="B18" s="45" t="s">
        <v>100</v>
      </c>
      <c r="C18" s="46">
        <v>1096.8</v>
      </c>
    </row>
    <row r="19" spans="2:6" x14ac:dyDescent="0.2">
      <c r="B19" s="45" t="s">
        <v>106</v>
      </c>
      <c r="C19" s="46">
        <v>4336</v>
      </c>
      <c r="D19" s="60" t="s">
        <v>108</v>
      </c>
      <c r="E19" s="46">
        <f>C19-C18</f>
        <v>3239.2</v>
      </c>
    </row>
    <row r="20" spans="2:6" x14ac:dyDescent="0.2">
      <c r="E20" s="44"/>
    </row>
    <row r="21" spans="2:6" x14ac:dyDescent="0.2">
      <c r="D21" s="54" t="s">
        <v>107</v>
      </c>
      <c r="E21" s="61">
        <f>(5000-E19)/50</f>
        <v>35.216000000000001</v>
      </c>
    </row>
    <row r="23" spans="2:6" ht="15.75" thickBot="1" x14ac:dyDescent="0.25"/>
    <row r="24" spans="2:6" ht="19.5" thickBot="1" x14ac:dyDescent="0.3">
      <c r="B24" s="6" t="s">
        <v>17</v>
      </c>
    </row>
    <row r="26" spans="2:6" x14ac:dyDescent="0.2">
      <c r="B26" s="54" t="s">
        <v>107</v>
      </c>
      <c r="C26" s="61">
        <f>AVERAGE(E10,E21)</f>
        <v>34.756</v>
      </c>
      <c r="D26" s="53" t="s">
        <v>109</v>
      </c>
      <c r="E26" s="62">
        <f>C26</f>
        <v>34.756</v>
      </c>
      <c r="F26" s="32" t="s">
        <v>110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8"/>
  <dimension ref="B1:G95"/>
  <sheetViews>
    <sheetView tabSelected="1" topLeftCell="A38" workbookViewId="0">
      <selection activeCell="C89" sqref="C89"/>
    </sheetView>
  </sheetViews>
  <sheetFormatPr defaultColWidth="10.76171875" defaultRowHeight="15" x14ac:dyDescent="0.2"/>
  <cols>
    <col min="2" max="2" width="42.5078125" bestFit="1" customWidth="1"/>
    <col min="4" max="4" width="32.5546875" bestFit="1" customWidth="1"/>
    <col min="5" max="5" width="27.7109375" customWidth="1"/>
    <col min="6" max="6" width="35.6484375" bestFit="1" customWidth="1"/>
  </cols>
  <sheetData>
    <row r="1" spans="2:5" ht="15.75" thickBot="1" x14ac:dyDescent="0.25"/>
    <row r="2" spans="2:5" ht="19.5" thickBot="1" x14ac:dyDescent="0.3">
      <c r="B2" s="6" t="s">
        <v>148</v>
      </c>
    </row>
    <row r="4" spans="2:5" x14ac:dyDescent="0.2">
      <c r="B4" s="45" t="s">
        <v>98</v>
      </c>
      <c r="C4" s="46">
        <v>1859.1</v>
      </c>
    </row>
    <row r="5" spans="2:5" x14ac:dyDescent="0.2">
      <c r="B5" s="45" t="s">
        <v>99</v>
      </c>
      <c r="C5" s="46">
        <v>13597.2</v>
      </c>
      <c r="D5" s="60" t="s">
        <v>149</v>
      </c>
      <c r="E5" s="46">
        <f>C5-C4</f>
        <v>11738.1</v>
      </c>
    </row>
    <row r="6" spans="2:5" x14ac:dyDescent="0.2">
      <c r="C6" s="9"/>
    </row>
    <row r="7" spans="2:5" x14ac:dyDescent="0.2">
      <c r="B7" s="45" t="s">
        <v>100</v>
      </c>
      <c r="C7" s="46">
        <v>1850.9</v>
      </c>
    </row>
    <row r="8" spans="2:5" x14ac:dyDescent="0.2">
      <c r="B8" s="45" t="s">
        <v>150</v>
      </c>
      <c r="C8" s="46">
        <v>11183.1</v>
      </c>
      <c r="D8" s="60" t="s">
        <v>151</v>
      </c>
      <c r="E8" s="46">
        <f>C8-C7</f>
        <v>9332.2000000000007</v>
      </c>
    </row>
    <row r="9" spans="2:5" x14ac:dyDescent="0.2">
      <c r="C9" s="9"/>
    </row>
    <row r="10" spans="2:5" ht="18" x14ac:dyDescent="0.3">
      <c r="C10" s="9"/>
      <c r="D10" s="60" t="s">
        <v>154</v>
      </c>
      <c r="E10" s="46">
        <f>E5+E8</f>
        <v>21070.300000000003</v>
      </c>
    </row>
    <row r="11" spans="2:5" x14ac:dyDescent="0.2">
      <c r="C11" s="9"/>
    </row>
    <row r="12" spans="2:5" ht="15.75" thickBot="1" x14ac:dyDescent="0.25">
      <c r="C12" s="9"/>
    </row>
    <row r="13" spans="2:5" ht="19.5" thickBot="1" x14ac:dyDescent="0.3">
      <c r="B13" s="6" t="s">
        <v>155</v>
      </c>
    </row>
    <row r="15" spans="2:5" x14ac:dyDescent="0.2">
      <c r="B15" s="45" t="s">
        <v>6</v>
      </c>
      <c r="C15" s="46">
        <v>1865.8</v>
      </c>
    </row>
    <row r="16" spans="2:5" ht="18" x14ac:dyDescent="0.3">
      <c r="B16" s="45" t="s">
        <v>112</v>
      </c>
      <c r="C16" s="46">
        <v>13435.2</v>
      </c>
      <c r="D16" s="60" t="s">
        <v>156</v>
      </c>
      <c r="E16" s="46">
        <f>C16-C15</f>
        <v>11569.400000000001</v>
      </c>
    </row>
    <row r="18" spans="2:7" ht="18" x14ac:dyDescent="0.3">
      <c r="E18" s="123" t="s">
        <v>157</v>
      </c>
      <c r="F18" s="124"/>
      <c r="G18" s="66">
        <f>E16/E10*100</f>
        <v>54.908567984319156</v>
      </c>
    </row>
    <row r="19" spans="2:7" ht="15.75" thickBot="1" x14ac:dyDescent="0.25">
      <c r="G19" s="66"/>
    </row>
    <row r="20" spans="2:7" ht="19.5" thickBot="1" x14ac:dyDescent="0.3">
      <c r="B20" s="6" t="s">
        <v>175</v>
      </c>
      <c r="G20" s="66"/>
    </row>
    <row r="21" spans="2:7" x14ac:dyDescent="0.2">
      <c r="G21" s="66"/>
    </row>
    <row r="22" spans="2:7" ht="18" x14ac:dyDescent="0.3">
      <c r="B22" s="60" t="s">
        <v>176</v>
      </c>
      <c r="C22" s="44">
        <v>0</v>
      </c>
      <c r="D22" s="123" t="s">
        <v>177</v>
      </c>
      <c r="E22" s="124"/>
      <c r="F22" s="61">
        <f>C22/E10*100</f>
        <v>0</v>
      </c>
      <c r="G22" s="66"/>
    </row>
    <row r="23" spans="2:7" x14ac:dyDescent="0.2">
      <c r="G23" s="66"/>
    </row>
    <row r="24" spans="2:7" ht="15.75" thickBot="1" x14ac:dyDescent="0.25"/>
    <row r="25" spans="2:7" ht="19.5" thickBot="1" x14ac:dyDescent="0.3">
      <c r="B25" s="6" t="s">
        <v>153</v>
      </c>
    </row>
    <row r="27" spans="2:7" x14ac:dyDescent="0.2">
      <c r="B27" s="45" t="s">
        <v>98</v>
      </c>
      <c r="C27" s="46">
        <v>1095.5</v>
      </c>
    </row>
    <row r="28" spans="2:7" x14ac:dyDescent="0.2">
      <c r="B28" s="45" t="s">
        <v>99</v>
      </c>
      <c r="C28" s="46">
        <v>5965.4</v>
      </c>
      <c r="D28" s="60" t="s">
        <v>149</v>
      </c>
      <c r="E28" s="46">
        <f>C28-C27</f>
        <v>4869.8999999999996</v>
      </c>
    </row>
    <row r="29" spans="2:7" x14ac:dyDescent="0.2">
      <c r="C29" s="9"/>
    </row>
    <row r="30" spans="2:7" x14ac:dyDescent="0.2">
      <c r="B30" s="45" t="s">
        <v>100</v>
      </c>
      <c r="C30" s="46">
        <v>3497.8</v>
      </c>
    </row>
    <row r="31" spans="2:7" x14ac:dyDescent="0.2">
      <c r="B31" s="45" t="s">
        <v>150</v>
      </c>
      <c r="C31" s="46">
        <v>7569.1</v>
      </c>
      <c r="D31" s="60" t="s">
        <v>151</v>
      </c>
      <c r="E31" s="46">
        <f>C31-C30</f>
        <v>4071.3</v>
      </c>
    </row>
    <row r="32" spans="2:7" x14ac:dyDescent="0.2">
      <c r="C32" s="9"/>
    </row>
    <row r="33" spans="2:7" x14ac:dyDescent="0.2">
      <c r="C33" s="9"/>
      <c r="D33" s="60" t="s">
        <v>158</v>
      </c>
      <c r="E33" s="46">
        <f>E28+E31</f>
        <v>8941.2000000000007</v>
      </c>
    </row>
    <row r="35" spans="2:7" ht="18" x14ac:dyDescent="0.3">
      <c r="E35" s="123" t="s">
        <v>159</v>
      </c>
      <c r="F35" s="124"/>
      <c r="G35" s="66">
        <f>E33/E10*100</f>
        <v>42.435086353777592</v>
      </c>
    </row>
    <row r="37" spans="2:7" ht="18" x14ac:dyDescent="0.3">
      <c r="E37" s="123" t="s">
        <v>160</v>
      </c>
      <c r="F37" s="124"/>
      <c r="G37" s="66">
        <f>E33/E16*100</f>
        <v>77.283178038619113</v>
      </c>
    </row>
    <row r="39" spans="2:7" ht="15.75" thickBot="1" x14ac:dyDescent="0.25"/>
    <row r="40" spans="2:7" ht="19.5" thickBot="1" x14ac:dyDescent="0.3">
      <c r="B40" s="6" t="s">
        <v>152</v>
      </c>
      <c r="C40" s="9"/>
    </row>
    <row r="42" spans="2:7" x14ac:dyDescent="0.2">
      <c r="B42" s="45" t="s">
        <v>6</v>
      </c>
      <c r="C42" s="46">
        <v>3491.1</v>
      </c>
    </row>
    <row r="43" spans="2:7" x14ac:dyDescent="0.2">
      <c r="B43" s="45" t="s">
        <v>112</v>
      </c>
      <c r="C43" s="46">
        <v>4034.2</v>
      </c>
      <c r="D43" s="60" t="s">
        <v>165</v>
      </c>
      <c r="E43" s="46">
        <f>C43-C42</f>
        <v>543.09999999999991</v>
      </c>
      <c r="F43" s="59" t="s">
        <v>163</v>
      </c>
      <c r="G43" s="46">
        <f>E10-E16-E33</f>
        <v>559.70000000000073</v>
      </c>
    </row>
    <row r="45" spans="2:7" ht="18" x14ac:dyDescent="0.3">
      <c r="E45" s="123" t="s">
        <v>161</v>
      </c>
      <c r="F45" s="124"/>
      <c r="G45" s="66">
        <f>G43/E10*100</f>
        <v>2.6563456619032508</v>
      </c>
    </row>
    <row r="47" spans="2:7" ht="18" x14ac:dyDescent="0.3">
      <c r="E47" s="123" t="s">
        <v>162</v>
      </c>
      <c r="F47" s="124"/>
      <c r="G47" s="66">
        <f>G43/E16*100</f>
        <v>4.8377616816775344</v>
      </c>
    </row>
    <row r="49" spans="2:5" ht="15.75" thickBot="1" x14ac:dyDescent="0.25"/>
    <row r="50" spans="2:5" ht="19.5" thickBot="1" x14ac:dyDescent="0.3">
      <c r="B50" s="6" t="s">
        <v>164</v>
      </c>
    </row>
    <row r="52" spans="2:5" ht="18" x14ac:dyDescent="0.3">
      <c r="B52" s="60" t="s">
        <v>178</v>
      </c>
      <c r="C52" s="9">
        <f>E33+G43</f>
        <v>9500.9000000000015</v>
      </c>
    </row>
    <row r="54" spans="2:5" ht="18" x14ac:dyDescent="0.3">
      <c r="B54" s="123" t="s">
        <v>179</v>
      </c>
      <c r="C54" s="124"/>
      <c r="D54" s="66">
        <f>C52/E10*100</f>
        <v>45.091432015680837</v>
      </c>
    </row>
    <row r="56" spans="2:5" ht="18" x14ac:dyDescent="0.3">
      <c r="B56" s="123" t="s">
        <v>180</v>
      </c>
      <c r="C56" s="124"/>
      <c r="D56" s="66">
        <f>C52/E16*100</f>
        <v>82.120939720296647</v>
      </c>
    </row>
    <row r="58" spans="2:5" ht="15.75" thickBot="1" x14ac:dyDescent="0.25"/>
    <row r="59" spans="2:5" ht="19.5" thickBot="1" x14ac:dyDescent="0.3">
      <c r="B59" s="6" t="s">
        <v>166</v>
      </c>
    </row>
    <row r="61" spans="2:5" x14ac:dyDescent="0.2">
      <c r="B61" s="45" t="s">
        <v>167</v>
      </c>
      <c r="C61" s="46">
        <v>21.1</v>
      </c>
    </row>
    <row r="62" spans="2:5" x14ac:dyDescent="0.2">
      <c r="B62" s="45" t="s">
        <v>168</v>
      </c>
      <c r="C62" s="46">
        <v>21.6</v>
      </c>
      <c r="D62" s="60" t="s">
        <v>169</v>
      </c>
      <c r="E62" s="46">
        <f>C62-C61</f>
        <v>0.5</v>
      </c>
    </row>
    <row r="64" spans="2:5" x14ac:dyDescent="0.2">
      <c r="B64" s="45" t="s">
        <v>170</v>
      </c>
      <c r="C64" s="46">
        <v>22.9</v>
      </c>
    </row>
    <row r="65" spans="2:7" x14ac:dyDescent="0.2">
      <c r="B65" s="45" t="s">
        <v>171</v>
      </c>
      <c r="C65" s="46">
        <v>23.4</v>
      </c>
      <c r="D65" s="60" t="s">
        <v>172</v>
      </c>
      <c r="E65" s="46">
        <f>C65-C64</f>
        <v>0.5</v>
      </c>
      <c r="F65" s="65" t="s">
        <v>173</v>
      </c>
      <c r="G65" s="28">
        <f>AVERAGE(E62,E65)</f>
        <v>0.5</v>
      </c>
    </row>
    <row r="67" spans="2:7" x14ac:dyDescent="0.2">
      <c r="F67" s="65" t="s">
        <v>174</v>
      </c>
      <c r="G67" s="69">
        <f>1000*G65/E16</f>
        <v>4.3217452936193744E-2</v>
      </c>
    </row>
    <row r="69" spans="2:7" ht="15.75" thickBot="1" x14ac:dyDescent="0.25"/>
    <row r="70" spans="2:7" ht="19.5" thickBot="1" x14ac:dyDescent="0.3">
      <c r="B70" s="6" t="s">
        <v>181</v>
      </c>
    </row>
    <row r="72" spans="2:7" x14ac:dyDescent="0.2">
      <c r="B72" s="45" t="s">
        <v>182</v>
      </c>
      <c r="C72" s="44">
        <v>0.1</v>
      </c>
    </row>
    <row r="74" spans="2:7" ht="18" x14ac:dyDescent="0.3">
      <c r="B74" s="120" t="s">
        <v>183</v>
      </c>
      <c r="C74" s="121"/>
      <c r="D74" s="46">
        <f>C52+C72</f>
        <v>9501.0000000000018</v>
      </c>
    </row>
    <row r="76" spans="2:7" x14ac:dyDescent="0.2">
      <c r="B76" s="45" t="s">
        <v>184</v>
      </c>
      <c r="C76" s="66">
        <f>D74/E16*100</f>
        <v>82.121804069355377</v>
      </c>
    </row>
    <row r="78" spans="2:7" ht="15.75" thickBot="1" x14ac:dyDescent="0.25"/>
    <row r="79" spans="2:7" ht="19.5" thickBot="1" x14ac:dyDescent="0.3">
      <c r="B79" s="6" t="s">
        <v>185</v>
      </c>
    </row>
    <row r="81" spans="2:7" ht="18" x14ac:dyDescent="0.3">
      <c r="B81" s="45" t="s">
        <v>195</v>
      </c>
      <c r="C81" s="46">
        <f>E16</f>
        <v>11569.400000000001</v>
      </c>
      <c r="D81" s="122" t="s">
        <v>196</v>
      </c>
      <c r="E81" s="122"/>
    </row>
    <row r="82" spans="2:7" x14ac:dyDescent="0.2">
      <c r="C82" s="46"/>
      <c r="D82" s="9"/>
    </row>
    <row r="83" spans="2:7" ht="18" x14ac:dyDescent="0.3">
      <c r="B83" s="45" t="s">
        <v>194</v>
      </c>
      <c r="C83" s="46">
        <v>2801.8</v>
      </c>
      <c r="D83" s="9"/>
    </row>
    <row r="84" spans="2:7" x14ac:dyDescent="0.2">
      <c r="C84" s="46"/>
    </row>
    <row r="85" spans="2:7" x14ac:dyDescent="0.2">
      <c r="B85" s="45" t="s">
        <v>186</v>
      </c>
      <c r="C85" s="46">
        <v>1432.2</v>
      </c>
      <c r="D85" s="67" t="s">
        <v>190</v>
      </c>
      <c r="E85" s="66">
        <f>100*$C$81/$E$16*C85/$C$83</f>
        <v>51.117138982082956</v>
      </c>
    </row>
    <row r="86" spans="2:7" x14ac:dyDescent="0.2">
      <c r="C86" s="46"/>
      <c r="E86" s="66"/>
    </row>
    <row r="87" spans="2:7" x14ac:dyDescent="0.2">
      <c r="B87" s="45" t="s">
        <v>232</v>
      </c>
      <c r="C87" s="46">
        <v>1369.6</v>
      </c>
      <c r="D87" s="67" t="s">
        <v>234</v>
      </c>
      <c r="E87" s="66">
        <f t="shared" ref="E87:E95" si="0">100*$C$81/$E$16*C87/$C$83</f>
        <v>48.882861017917051</v>
      </c>
    </row>
    <row r="88" spans="2:7" x14ac:dyDescent="0.2">
      <c r="E88" s="66"/>
    </row>
    <row r="89" spans="2:7" x14ac:dyDescent="0.2">
      <c r="B89" s="45" t="s">
        <v>233</v>
      </c>
      <c r="C89" s="44">
        <f>152.3</f>
        <v>152.30000000000001</v>
      </c>
      <c r="D89" s="67" t="s">
        <v>235</v>
      </c>
      <c r="E89" s="66">
        <f t="shared" si="0"/>
        <v>5.4357912770361922</v>
      </c>
      <c r="F89" s="67" t="s">
        <v>190</v>
      </c>
      <c r="G89" s="66">
        <f>100-E89</f>
        <v>94.564208722963812</v>
      </c>
    </row>
    <row r="90" spans="2:7" x14ac:dyDescent="0.2">
      <c r="C90" s="46"/>
    </row>
    <row r="91" spans="2:7" x14ac:dyDescent="0.2">
      <c r="B91" s="45" t="s">
        <v>187</v>
      </c>
      <c r="C91" s="46">
        <v>0</v>
      </c>
      <c r="D91" s="67" t="s">
        <v>191</v>
      </c>
      <c r="E91" s="66">
        <f t="shared" si="0"/>
        <v>0</v>
      </c>
    </row>
    <row r="92" spans="2:7" x14ac:dyDescent="0.2">
      <c r="C92" s="46"/>
    </row>
    <row r="93" spans="2:7" x14ac:dyDescent="0.2">
      <c r="B93" s="45" t="s">
        <v>188</v>
      </c>
      <c r="C93" s="46">
        <v>0</v>
      </c>
      <c r="D93" s="67" t="s">
        <v>192</v>
      </c>
      <c r="E93" s="66">
        <f t="shared" si="0"/>
        <v>0</v>
      </c>
    </row>
    <row r="94" spans="2:7" x14ac:dyDescent="0.2">
      <c r="C94" s="46"/>
    </row>
    <row r="95" spans="2:7" x14ac:dyDescent="0.2">
      <c r="B95" s="45" t="s">
        <v>189</v>
      </c>
      <c r="C95" s="46">
        <v>0</v>
      </c>
      <c r="D95" s="67" t="s">
        <v>193</v>
      </c>
      <c r="E95" s="66">
        <f t="shared" si="0"/>
        <v>0</v>
      </c>
    </row>
  </sheetData>
  <mergeCells count="10">
    <mergeCell ref="B74:C74"/>
    <mergeCell ref="D81:E81"/>
    <mergeCell ref="B54:C54"/>
    <mergeCell ref="B56:C56"/>
    <mergeCell ref="E18:F18"/>
    <mergeCell ref="E35:F35"/>
    <mergeCell ref="E37:F37"/>
    <mergeCell ref="E45:F45"/>
    <mergeCell ref="E47:F47"/>
    <mergeCell ref="D22:E22"/>
  </mergeCells>
  <pageMargins left="0.7" right="0.7" top="0.75" bottom="0.75" header="0.3" footer="0.3"/>
  <pageSetup paperSize="9" orientation="portrait" horizontalDpi="4294967292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E27"/>
  <sheetViews>
    <sheetView workbookViewId="0">
      <selection activeCell="E23" sqref="E23"/>
    </sheetView>
  </sheetViews>
  <sheetFormatPr defaultColWidth="10.76171875" defaultRowHeight="15" x14ac:dyDescent="0.2"/>
  <cols>
    <col min="2" max="2" width="31.609375" bestFit="1" customWidth="1"/>
    <col min="4" max="4" width="24.34765625" bestFit="1" customWidth="1"/>
  </cols>
  <sheetData>
    <row r="1" spans="2:5" ht="15.75" thickBot="1" x14ac:dyDescent="0.25"/>
    <row r="2" spans="2:5" ht="19.5" thickBot="1" x14ac:dyDescent="0.3">
      <c r="B2" s="6" t="s">
        <v>5</v>
      </c>
    </row>
    <row r="4" spans="2:5" x14ac:dyDescent="0.2">
      <c r="B4" s="45" t="s">
        <v>98</v>
      </c>
      <c r="C4" s="46">
        <v>1298.4000000000001</v>
      </c>
    </row>
    <row r="5" spans="2:5" x14ac:dyDescent="0.2">
      <c r="B5" s="45" t="s">
        <v>99</v>
      </c>
      <c r="C5" s="46">
        <v>1884.5</v>
      </c>
      <c r="D5" s="48" t="s">
        <v>102</v>
      </c>
      <c r="E5" s="46">
        <f>C5-C4</f>
        <v>586.09999999999991</v>
      </c>
    </row>
    <row r="6" spans="2:5" x14ac:dyDescent="0.2">
      <c r="C6" s="46"/>
    </row>
    <row r="7" spans="2:5" x14ac:dyDescent="0.2">
      <c r="B7" s="45" t="s">
        <v>100</v>
      </c>
      <c r="C7" s="46">
        <v>1298.4000000000001</v>
      </c>
    </row>
    <row r="8" spans="2:5" x14ac:dyDescent="0.2">
      <c r="B8" s="45" t="s">
        <v>253</v>
      </c>
      <c r="C8" s="46">
        <v>1564.15</v>
      </c>
      <c r="D8" s="48" t="s">
        <v>255</v>
      </c>
      <c r="E8" s="46">
        <f>C8-C7</f>
        <v>265.75</v>
      </c>
    </row>
    <row r="9" spans="2:5" x14ac:dyDescent="0.2">
      <c r="B9" s="45" t="s">
        <v>254</v>
      </c>
      <c r="C9" s="46">
        <v>1618.7</v>
      </c>
      <c r="D9" s="48" t="s">
        <v>256</v>
      </c>
      <c r="E9" s="46">
        <f>C9-C7</f>
        <v>320.29999999999995</v>
      </c>
    </row>
    <row r="11" spans="2:5" x14ac:dyDescent="0.2">
      <c r="D11" s="54" t="s">
        <v>252</v>
      </c>
      <c r="E11" s="55">
        <f>100*(E5-E9)/E5</f>
        <v>45.350622760621057</v>
      </c>
    </row>
    <row r="13" spans="2:5" ht="15.75" thickBot="1" x14ac:dyDescent="0.25"/>
    <row r="14" spans="2:5" ht="19.5" thickBot="1" x14ac:dyDescent="0.3">
      <c r="B14" s="6" t="s">
        <v>15</v>
      </c>
    </row>
    <row r="16" spans="2:5" x14ac:dyDescent="0.2">
      <c r="B16" s="45" t="s">
        <v>98</v>
      </c>
      <c r="C16" s="46">
        <v>1301</v>
      </c>
    </row>
    <row r="17" spans="2:5" x14ac:dyDescent="0.2">
      <c r="B17" s="45" t="s">
        <v>99</v>
      </c>
      <c r="C17" s="46">
        <v>1896.3</v>
      </c>
      <c r="D17" s="48" t="s">
        <v>102</v>
      </c>
      <c r="E17" s="46">
        <f>C17-C16</f>
        <v>595.29999999999995</v>
      </c>
    </row>
    <row r="18" spans="2:5" x14ac:dyDescent="0.2">
      <c r="C18" s="46"/>
    </row>
    <row r="19" spans="2:5" x14ac:dyDescent="0.2">
      <c r="B19" s="45" t="s">
        <v>100</v>
      </c>
      <c r="C19" s="46">
        <v>1301</v>
      </c>
    </row>
    <row r="20" spans="2:5" x14ac:dyDescent="0.2">
      <c r="B20" s="45" t="s">
        <v>253</v>
      </c>
      <c r="C20" s="46">
        <v>1583.8</v>
      </c>
      <c r="D20" s="48" t="s">
        <v>255</v>
      </c>
      <c r="E20" s="46">
        <f>C20-C19</f>
        <v>282.79999999999995</v>
      </c>
    </row>
    <row r="21" spans="2:5" x14ac:dyDescent="0.2">
      <c r="B21" s="45" t="s">
        <v>254</v>
      </c>
      <c r="C21" s="46">
        <v>1613.8</v>
      </c>
      <c r="D21" s="48" t="s">
        <v>256</v>
      </c>
      <c r="E21" s="46">
        <f>C21-C19</f>
        <v>312.79999999999995</v>
      </c>
    </row>
    <row r="23" spans="2:5" x14ac:dyDescent="0.2">
      <c r="D23" s="54" t="s">
        <v>252</v>
      </c>
      <c r="E23" s="55">
        <f>100*(E17-E21)/E17</f>
        <v>47.455064673273981</v>
      </c>
    </row>
    <row r="24" spans="2:5" ht="15.75" thickBot="1" x14ac:dyDescent="0.25"/>
    <row r="25" spans="2:5" ht="19.5" thickBot="1" x14ac:dyDescent="0.3">
      <c r="B25" s="6" t="s">
        <v>17</v>
      </c>
    </row>
    <row r="27" spans="2:5" x14ac:dyDescent="0.2">
      <c r="B27" s="54" t="s">
        <v>257</v>
      </c>
      <c r="C27" s="55">
        <f>AVERAGE(E11,E23)</f>
        <v>46.402843716947515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1:E27"/>
  <sheetViews>
    <sheetView topLeftCell="A4" workbookViewId="0">
      <selection activeCell="C22" sqref="C22"/>
    </sheetView>
  </sheetViews>
  <sheetFormatPr defaultColWidth="10.76171875" defaultRowHeight="15" x14ac:dyDescent="0.2"/>
  <cols>
    <col min="2" max="2" width="31.609375" bestFit="1" customWidth="1"/>
    <col min="4" max="4" width="24.34765625" bestFit="1" customWidth="1"/>
  </cols>
  <sheetData>
    <row r="1" spans="2:5" ht="15.75" thickBot="1" x14ac:dyDescent="0.25"/>
    <row r="2" spans="2:5" ht="19.5" thickBot="1" x14ac:dyDescent="0.3">
      <c r="B2" s="6" t="s">
        <v>5</v>
      </c>
    </row>
    <row r="4" spans="2:5" x14ac:dyDescent="0.2">
      <c r="B4" s="45" t="s">
        <v>98</v>
      </c>
      <c r="C4" s="46">
        <v>1298.4000000000001</v>
      </c>
    </row>
    <row r="5" spans="2:5" x14ac:dyDescent="0.2">
      <c r="B5" s="45" t="s">
        <v>99</v>
      </c>
      <c r="C5" s="46">
        <v>1879.2</v>
      </c>
      <c r="D5" s="48" t="s">
        <v>102</v>
      </c>
      <c r="E5" s="46">
        <f>C5-C4</f>
        <v>580.79999999999995</v>
      </c>
    </row>
    <row r="6" spans="2:5" x14ac:dyDescent="0.2">
      <c r="C6" s="46"/>
    </row>
    <row r="7" spans="2:5" x14ac:dyDescent="0.2">
      <c r="B7" s="45" t="s">
        <v>100</v>
      </c>
      <c r="C7" s="46">
        <v>1298.4000000000001</v>
      </c>
    </row>
    <row r="8" spans="2:5" x14ac:dyDescent="0.2">
      <c r="B8" s="45" t="s">
        <v>253</v>
      </c>
      <c r="C8" s="46">
        <v>1597.3</v>
      </c>
      <c r="D8" s="48" t="s">
        <v>255</v>
      </c>
      <c r="E8" s="46">
        <f>C8-C7</f>
        <v>298.89999999999986</v>
      </c>
    </row>
    <row r="9" spans="2:5" x14ac:dyDescent="0.2">
      <c r="B9" s="45" t="s">
        <v>254</v>
      </c>
      <c r="C9" s="46">
        <v>1580.3</v>
      </c>
      <c r="D9" s="48" t="s">
        <v>256</v>
      </c>
      <c r="E9" s="46">
        <f>C9-C7</f>
        <v>281.89999999999986</v>
      </c>
    </row>
    <row r="11" spans="2:5" x14ac:dyDescent="0.2">
      <c r="D11" s="54" t="s">
        <v>252</v>
      </c>
      <c r="E11" s="55">
        <f>100*(E5-E9)/E5</f>
        <v>51.463498622589547</v>
      </c>
    </row>
    <row r="13" spans="2:5" ht="15.75" thickBot="1" x14ac:dyDescent="0.25"/>
    <row r="14" spans="2:5" ht="19.5" thickBot="1" x14ac:dyDescent="0.3">
      <c r="B14" s="6" t="s">
        <v>15</v>
      </c>
    </row>
    <row r="16" spans="2:5" x14ac:dyDescent="0.2">
      <c r="B16" s="45" t="s">
        <v>98</v>
      </c>
      <c r="C16" s="46">
        <v>1301</v>
      </c>
    </row>
    <row r="17" spans="2:5" x14ac:dyDescent="0.2">
      <c r="B17" s="45" t="s">
        <v>99</v>
      </c>
      <c r="C17" s="46">
        <v>1891.6</v>
      </c>
      <c r="D17" s="48" t="s">
        <v>102</v>
      </c>
      <c r="E17" s="46">
        <f>C17-C16</f>
        <v>590.59999999999991</v>
      </c>
    </row>
    <row r="18" spans="2:5" x14ac:dyDescent="0.2">
      <c r="C18" s="46"/>
    </row>
    <row r="19" spans="2:5" x14ac:dyDescent="0.2">
      <c r="B19" s="45" t="s">
        <v>100</v>
      </c>
      <c r="C19" s="46">
        <v>1301</v>
      </c>
    </row>
    <row r="20" spans="2:5" x14ac:dyDescent="0.2">
      <c r="B20" s="45" t="s">
        <v>253</v>
      </c>
      <c r="C20" s="46">
        <v>1612.8</v>
      </c>
      <c r="D20" s="48" t="s">
        <v>255</v>
      </c>
      <c r="E20" s="46">
        <f>C20-C19</f>
        <v>311.79999999999995</v>
      </c>
    </row>
    <row r="21" spans="2:5" x14ac:dyDescent="0.2">
      <c r="B21" s="45" t="s">
        <v>254</v>
      </c>
      <c r="C21" s="46">
        <v>1579.8</v>
      </c>
      <c r="D21" s="48" t="s">
        <v>256</v>
      </c>
      <c r="E21" s="46">
        <f>C21-C19</f>
        <v>278.79999999999995</v>
      </c>
    </row>
    <row r="23" spans="2:5" x14ac:dyDescent="0.2">
      <c r="D23" s="54" t="s">
        <v>252</v>
      </c>
      <c r="E23" s="55">
        <f>100*(E17-E21)/E17</f>
        <v>52.793769048425332</v>
      </c>
    </row>
    <row r="24" spans="2:5" ht="15.75" thickBot="1" x14ac:dyDescent="0.25"/>
    <row r="25" spans="2:5" ht="19.5" thickBot="1" x14ac:dyDescent="0.3">
      <c r="B25" s="6" t="s">
        <v>17</v>
      </c>
    </row>
    <row r="27" spans="2:5" x14ac:dyDescent="0.2">
      <c r="B27" s="54" t="s">
        <v>257</v>
      </c>
      <c r="C27" s="55">
        <f>AVERAGE(E11,E23)</f>
        <v>52.128633835507443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1:H24"/>
  <sheetViews>
    <sheetView workbookViewId="0">
      <selection activeCell="C24" sqref="C24"/>
    </sheetView>
  </sheetViews>
  <sheetFormatPr defaultColWidth="10.76171875" defaultRowHeight="15" x14ac:dyDescent="0.2"/>
  <cols>
    <col min="2" max="2" width="25.2890625" bestFit="1" customWidth="1"/>
    <col min="5" max="5" width="25.2890625" bestFit="1" customWidth="1"/>
    <col min="8" max="8" width="19.234375" bestFit="1" customWidth="1"/>
  </cols>
  <sheetData>
    <row r="1" spans="2:8" ht="15.75" thickBot="1" x14ac:dyDescent="0.25"/>
    <row r="2" spans="2:8" ht="19.5" thickBot="1" x14ac:dyDescent="0.3">
      <c r="B2" s="6" t="s">
        <v>5</v>
      </c>
    </row>
    <row r="4" spans="2:8" x14ac:dyDescent="0.2">
      <c r="B4" s="4" t="s">
        <v>6</v>
      </c>
      <c r="C4" s="7">
        <v>1304.3</v>
      </c>
    </row>
    <row r="5" spans="2:8" ht="18" x14ac:dyDescent="0.3">
      <c r="B5" s="4" t="s">
        <v>7</v>
      </c>
      <c r="C5" s="7">
        <v>1729.5</v>
      </c>
      <c r="E5" s="45" t="s">
        <v>241</v>
      </c>
      <c r="F5" s="9">
        <f>C5-C4</f>
        <v>425.20000000000005</v>
      </c>
    </row>
    <row r="7" spans="2:8" x14ac:dyDescent="0.2">
      <c r="B7" s="4" t="s">
        <v>6</v>
      </c>
      <c r="C7" s="7">
        <v>380.5</v>
      </c>
    </row>
    <row r="8" spans="2:8" ht="18" x14ac:dyDescent="0.3">
      <c r="B8" s="4" t="s">
        <v>7</v>
      </c>
      <c r="C8" s="7">
        <v>766.9</v>
      </c>
      <c r="E8" s="45" t="s">
        <v>242</v>
      </c>
      <c r="F8" s="9">
        <f>C8-C7</f>
        <v>386.4</v>
      </c>
    </row>
    <row r="10" spans="2:8" x14ac:dyDescent="0.2">
      <c r="E10" s="54" t="s">
        <v>240</v>
      </c>
      <c r="F10" s="78">
        <f>(F5-F8)/F5*100</f>
        <v>9.1251175917215583</v>
      </c>
      <c r="H10" s="32" t="s">
        <v>268</v>
      </c>
    </row>
    <row r="11" spans="2:8" ht="15.75" thickBot="1" x14ac:dyDescent="0.25"/>
    <row r="12" spans="2:8" ht="19.5" thickBot="1" x14ac:dyDescent="0.3">
      <c r="B12" s="6" t="s">
        <v>5</v>
      </c>
    </row>
    <row r="14" spans="2:8" x14ac:dyDescent="0.2">
      <c r="B14" s="4" t="s">
        <v>6</v>
      </c>
      <c r="C14" s="7">
        <v>1300.4000000000001</v>
      </c>
    </row>
    <row r="15" spans="2:8" ht="18" x14ac:dyDescent="0.3">
      <c r="B15" s="4" t="s">
        <v>7</v>
      </c>
      <c r="C15" s="7">
        <v>1725.6</v>
      </c>
      <c r="E15" s="45" t="s">
        <v>241</v>
      </c>
      <c r="F15" s="9">
        <f>C15-C14</f>
        <v>425.19999999999982</v>
      </c>
    </row>
    <row r="17" spans="2:6" x14ac:dyDescent="0.2">
      <c r="B17" s="4" t="s">
        <v>6</v>
      </c>
      <c r="C17" s="7">
        <v>627.70000000000005</v>
      </c>
    </row>
    <row r="18" spans="2:6" ht="18" x14ac:dyDescent="0.3">
      <c r="B18" s="4" t="s">
        <v>7</v>
      </c>
      <c r="C18" s="7">
        <v>1023.6</v>
      </c>
      <c r="E18" s="45" t="s">
        <v>242</v>
      </c>
      <c r="F18" s="9">
        <f>C18-C17</f>
        <v>395.9</v>
      </c>
    </row>
    <row r="20" spans="2:6" x14ac:dyDescent="0.2">
      <c r="E20" s="54" t="s">
        <v>240</v>
      </c>
      <c r="F20" s="78">
        <f>(F15-F18)/F15*100</f>
        <v>6.8908748824082435</v>
      </c>
    </row>
    <row r="21" spans="2:6" ht="15.75" thickBot="1" x14ac:dyDescent="0.25"/>
    <row r="22" spans="2:6" ht="19.5" thickBot="1" x14ac:dyDescent="0.3">
      <c r="B22" s="6" t="s">
        <v>17</v>
      </c>
    </row>
    <row r="24" spans="2:6" x14ac:dyDescent="0.2">
      <c r="B24" s="54" t="s">
        <v>240</v>
      </c>
      <c r="C24" s="93">
        <f>AVERAGE(F10,F20)</f>
        <v>8.0079962370649014</v>
      </c>
    </row>
  </sheetData>
  <pageMargins left="0.7" right="0.7" top="0.75" bottom="0.75" header="0.3" footer="0.3"/>
  <pageSetup paperSize="9" orientation="portrait" horizontalDpi="4294967292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1:F36"/>
  <sheetViews>
    <sheetView topLeftCell="A13" workbookViewId="0">
      <selection activeCell="C36" sqref="C36"/>
    </sheetView>
  </sheetViews>
  <sheetFormatPr defaultColWidth="10.76171875" defaultRowHeight="15" x14ac:dyDescent="0.2"/>
  <cols>
    <col min="2" max="2" width="30.265625" bestFit="1" customWidth="1"/>
    <col min="5" max="5" width="30.8046875" bestFit="1" customWidth="1"/>
  </cols>
  <sheetData>
    <row r="1" spans="2:6" ht="15.75" thickBot="1" x14ac:dyDescent="0.25"/>
    <row r="2" spans="2:6" ht="19.5" thickBot="1" x14ac:dyDescent="0.3">
      <c r="B2" s="6" t="s">
        <v>5</v>
      </c>
    </row>
    <row r="4" spans="2:6" x14ac:dyDescent="0.2">
      <c r="B4" s="4" t="s">
        <v>6</v>
      </c>
      <c r="C4" s="7">
        <v>140.1</v>
      </c>
    </row>
    <row r="5" spans="2:6" ht="18" x14ac:dyDescent="0.3">
      <c r="B5" s="4" t="s">
        <v>7</v>
      </c>
      <c r="C5" s="7">
        <v>2246.6</v>
      </c>
      <c r="E5" s="45" t="s">
        <v>241</v>
      </c>
      <c r="F5" s="9">
        <f>C5-C4</f>
        <v>2106.5</v>
      </c>
    </row>
    <row r="7" spans="2:6" x14ac:dyDescent="0.2">
      <c r="B7" s="4" t="s">
        <v>6</v>
      </c>
      <c r="C7" s="7">
        <v>1095.5</v>
      </c>
    </row>
    <row r="8" spans="2:6" ht="18" x14ac:dyDescent="0.3">
      <c r="B8" s="4" t="s">
        <v>7</v>
      </c>
      <c r="C8" s="7">
        <v>3073.2</v>
      </c>
      <c r="E8" s="45" t="s">
        <v>242</v>
      </c>
      <c r="F8" s="9">
        <f>C8-C7</f>
        <v>1977.6999999999998</v>
      </c>
    </row>
    <row r="10" spans="2:6" x14ac:dyDescent="0.2">
      <c r="E10" s="54" t="s">
        <v>243</v>
      </c>
      <c r="F10" s="92">
        <f>(F5-F8)/F5*100</f>
        <v>6.1144077854260708</v>
      </c>
    </row>
    <row r="11" spans="2:6" x14ac:dyDescent="0.2">
      <c r="F11" s="92"/>
    </row>
    <row r="12" spans="2:6" x14ac:dyDescent="0.2">
      <c r="B12" s="4" t="s">
        <v>6</v>
      </c>
      <c r="C12" s="7">
        <v>233.2</v>
      </c>
      <c r="F12" s="92"/>
    </row>
    <row r="13" spans="2:6" x14ac:dyDescent="0.2">
      <c r="B13" s="4" t="s">
        <v>265</v>
      </c>
      <c r="C13" s="7">
        <v>1925</v>
      </c>
      <c r="E13" s="45" t="s">
        <v>266</v>
      </c>
      <c r="F13" s="9">
        <f>C13-C12</f>
        <v>1691.8</v>
      </c>
    </row>
    <row r="14" spans="2:6" x14ac:dyDescent="0.2">
      <c r="F14" s="92"/>
    </row>
    <row r="15" spans="2:6" x14ac:dyDescent="0.2">
      <c r="E15" s="54" t="s">
        <v>267</v>
      </c>
      <c r="F15" s="92">
        <f>(F5-F13)/F5*100</f>
        <v>19.686684073107052</v>
      </c>
    </row>
    <row r="16" spans="2:6" ht="15.75" thickBot="1" x14ac:dyDescent="0.25"/>
    <row r="17" spans="2:6" ht="19.5" thickBot="1" x14ac:dyDescent="0.3">
      <c r="B17" s="6" t="s">
        <v>15</v>
      </c>
    </row>
    <row r="19" spans="2:6" x14ac:dyDescent="0.2">
      <c r="B19" s="4" t="s">
        <v>6</v>
      </c>
      <c r="C19" s="7">
        <v>138</v>
      </c>
    </row>
    <row r="20" spans="2:6" ht="18" x14ac:dyDescent="0.3">
      <c r="B20" s="4" t="s">
        <v>7</v>
      </c>
      <c r="C20" s="7">
        <v>2142.6999999999998</v>
      </c>
      <c r="E20" s="45" t="s">
        <v>241</v>
      </c>
      <c r="F20" s="9">
        <f>C20-C19</f>
        <v>2004.6999999999998</v>
      </c>
    </row>
    <row r="22" spans="2:6" x14ac:dyDescent="0.2">
      <c r="B22" s="4" t="s">
        <v>6</v>
      </c>
      <c r="C22" s="7">
        <v>1095.2</v>
      </c>
    </row>
    <row r="23" spans="2:6" ht="18" x14ac:dyDescent="0.3">
      <c r="B23" s="4" t="s">
        <v>7</v>
      </c>
      <c r="C23" s="7">
        <v>3002.3</v>
      </c>
      <c r="E23" s="45" t="s">
        <v>242</v>
      </c>
      <c r="F23" s="9">
        <f>C23-C22</f>
        <v>1907.1000000000001</v>
      </c>
    </row>
    <row r="25" spans="2:6" x14ac:dyDescent="0.2">
      <c r="E25" s="54" t="s">
        <v>243</v>
      </c>
      <c r="F25" s="92">
        <f>(F20-F23)/F20*100</f>
        <v>4.8685588866164355</v>
      </c>
    </row>
    <row r="26" spans="2:6" x14ac:dyDescent="0.2">
      <c r="F26" s="92"/>
    </row>
    <row r="27" spans="2:6" x14ac:dyDescent="0.2">
      <c r="B27" s="4" t="s">
        <v>6</v>
      </c>
      <c r="C27" s="7">
        <v>233.5</v>
      </c>
      <c r="F27" s="92"/>
    </row>
    <row r="28" spans="2:6" x14ac:dyDescent="0.2">
      <c r="B28" s="4" t="s">
        <v>265</v>
      </c>
      <c r="C28" s="7">
        <v>1913.8</v>
      </c>
      <c r="E28" s="45" t="s">
        <v>266</v>
      </c>
      <c r="F28" s="9">
        <f>C28-C27</f>
        <v>1680.3</v>
      </c>
    </row>
    <row r="29" spans="2:6" x14ac:dyDescent="0.2">
      <c r="F29" s="92"/>
    </row>
    <row r="30" spans="2:6" x14ac:dyDescent="0.2">
      <c r="E30" s="54" t="s">
        <v>267</v>
      </c>
      <c r="F30" s="92">
        <f>(F20-F28)/F20*100</f>
        <v>16.181972364942379</v>
      </c>
    </row>
    <row r="31" spans="2:6" ht="15.75" thickBot="1" x14ac:dyDescent="0.25"/>
    <row r="32" spans="2:6" ht="19.5" thickBot="1" x14ac:dyDescent="0.3">
      <c r="B32" s="6" t="s">
        <v>17</v>
      </c>
    </row>
    <row r="34" spans="2:3" x14ac:dyDescent="0.2">
      <c r="B34" s="54" t="s">
        <v>243</v>
      </c>
      <c r="C34" s="66">
        <f>AVERAGE(F10,F25)</f>
        <v>5.4914833360212532</v>
      </c>
    </row>
    <row r="36" spans="2:3" x14ac:dyDescent="0.2">
      <c r="B36" s="54" t="s">
        <v>267</v>
      </c>
      <c r="C36" s="66">
        <f>AVERAGE(F15,F30)</f>
        <v>17.934328219024714</v>
      </c>
    </row>
  </sheetData>
  <pageMargins left="0.7" right="0.7" top="0.75" bottom="0.75" header="0.3" footer="0.3"/>
  <pageSetup paperSize="9" orientation="portrait" horizontalDpi="4294967292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9"/>
  <dimension ref="B1:J43"/>
  <sheetViews>
    <sheetView topLeftCell="A28" workbookViewId="0">
      <selection activeCell="G28" sqref="G28"/>
    </sheetView>
  </sheetViews>
  <sheetFormatPr defaultColWidth="10.76171875" defaultRowHeight="15" x14ac:dyDescent="0.2"/>
  <cols>
    <col min="2" max="2" width="59.99609375" bestFit="1" customWidth="1"/>
    <col min="4" max="4" width="28.25" bestFit="1" customWidth="1"/>
    <col min="6" max="6" width="60.3984375" bestFit="1" customWidth="1"/>
    <col min="8" max="8" width="13.046875" bestFit="1" customWidth="1"/>
  </cols>
  <sheetData>
    <row r="1" spans="2:10" ht="15.75" thickBot="1" x14ac:dyDescent="0.25"/>
    <row r="2" spans="2:10" ht="19.5" thickBot="1" x14ac:dyDescent="0.3">
      <c r="B2" s="6" t="s">
        <v>5</v>
      </c>
    </row>
    <row r="4" spans="2:10" ht="18" x14ac:dyDescent="0.3">
      <c r="B4" s="45" t="s">
        <v>85</v>
      </c>
      <c r="C4" s="46">
        <v>2376.3000000000002</v>
      </c>
    </row>
    <row r="5" spans="2:10" ht="18" x14ac:dyDescent="0.3">
      <c r="B5" s="45" t="s">
        <v>86</v>
      </c>
      <c r="C5" s="46">
        <v>1840.1</v>
      </c>
    </row>
    <row r="6" spans="2:10" x14ac:dyDescent="0.2">
      <c r="B6" s="45" t="s">
        <v>6</v>
      </c>
      <c r="C6" s="46">
        <v>1091</v>
      </c>
    </row>
    <row r="7" spans="2:10" ht="18" x14ac:dyDescent="0.3">
      <c r="B7" s="45" t="s">
        <v>88</v>
      </c>
      <c r="C7" s="46">
        <v>1951.2</v>
      </c>
      <c r="D7" s="48" t="s">
        <v>87</v>
      </c>
      <c r="E7" s="46">
        <f>C7-C6</f>
        <v>860.2</v>
      </c>
    </row>
    <row r="8" spans="2:10" ht="18" x14ac:dyDescent="0.3">
      <c r="B8" s="45" t="s">
        <v>92</v>
      </c>
      <c r="C8" s="46">
        <v>2004.7</v>
      </c>
      <c r="D8" s="48" t="s">
        <v>89</v>
      </c>
      <c r="E8" s="46">
        <f>C8-C6</f>
        <v>913.7</v>
      </c>
      <c r="F8" s="49" t="s">
        <v>90</v>
      </c>
      <c r="G8" s="52">
        <v>0.99750000000000005</v>
      </c>
    </row>
    <row r="9" spans="2:10" x14ac:dyDescent="0.2">
      <c r="G9" s="50"/>
    </row>
    <row r="10" spans="2:10" x14ac:dyDescent="0.2">
      <c r="G10" s="50"/>
    </row>
    <row r="11" spans="2:10" ht="18" x14ac:dyDescent="0.3">
      <c r="F11" s="54" t="s">
        <v>91</v>
      </c>
      <c r="G11" s="55">
        <f>G8*E7/(E7-(C4-C5))</f>
        <v>2.6483009259259283</v>
      </c>
    </row>
    <row r="12" spans="2:10" ht="18" x14ac:dyDescent="0.3">
      <c r="F12" s="54" t="s">
        <v>93</v>
      </c>
      <c r="G12" s="55">
        <f>G8*E7/(E8-(C4-C5))</f>
        <v>2.2729788079470215</v>
      </c>
    </row>
    <row r="13" spans="2:10" ht="18" x14ac:dyDescent="0.3">
      <c r="F13" s="54" t="s">
        <v>94</v>
      </c>
      <c r="G13" s="55">
        <f>G8*E8/(E8-(C4-C5))</f>
        <v>2.4143463576158957</v>
      </c>
      <c r="H13" s="15" t="s">
        <v>9</v>
      </c>
      <c r="I13" s="56">
        <f>G13</f>
        <v>2.4143463576158957</v>
      </c>
      <c r="J13" s="56">
        <f>G12+G8*(1-G12/G11)</f>
        <v>2.4143463576158957</v>
      </c>
    </row>
    <row r="14" spans="2:10" x14ac:dyDescent="0.2">
      <c r="G14" s="50"/>
      <c r="I14" s="107" t="s">
        <v>95</v>
      </c>
      <c r="J14" s="107"/>
    </row>
    <row r="15" spans="2:10" x14ac:dyDescent="0.2">
      <c r="G15" s="50"/>
    </row>
    <row r="16" spans="2:10" x14ac:dyDescent="0.2">
      <c r="F16" s="54" t="s">
        <v>96</v>
      </c>
      <c r="G16" s="55">
        <f>100*(E8-E7)/E7</f>
        <v>6.2194838409672162</v>
      </c>
    </row>
    <row r="17" spans="2:10" x14ac:dyDescent="0.2">
      <c r="G17" s="50"/>
    </row>
    <row r="18" spans="2:10" ht="15.75" thickBot="1" x14ac:dyDescent="0.25">
      <c r="G18" s="50"/>
    </row>
    <row r="19" spans="2:10" ht="19.5" thickBot="1" x14ac:dyDescent="0.3">
      <c r="B19" s="6" t="s">
        <v>15</v>
      </c>
    </row>
    <row r="21" spans="2:10" ht="18" x14ac:dyDescent="0.3">
      <c r="B21" s="45" t="s">
        <v>85</v>
      </c>
      <c r="C21" s="46">
        <v>2476.6999999999998</v>
      </c>
    </row>
    <row r="22" spans="2:10" ht="18" x14ac:dyDescent="0.3">
      <c r="B22" s="45" t="s">
        <v>86</v>
      </c>
      <c r="C22" s="46">
        <v>1852.8</v>
      </c>
    </row>
    <row r="23" spans="2:10" x14ac:dyDescent="0.2">
      <c r="B23" s="45" t="s">
        <v>6</v>
      </c>
      <c r="C23" s="46">
        <v>1091</v>
      </c>
    </row>
    <row r="24" spans="2:10" ht="18" x14ac:dyDescent="0.3">
      <c r="B24" s="45" t="s">
        <v>88</v>
      </c>
      <c r="C24" s="46">
        <v>2087.8000000000002</v>
      </c>
      <c r="D24" s="48" t="s">
        <v>87</v>
      </c>
      <c r="E24" s="46">
        <f>C24-C23</f>
        <v>996.80000000000018</v>
      </c>
    </row>
    <row r="25" spans="2:10" ht="18" x14ac:dyDescent="0.3">
      <c r="B25" s="45" t="s">
        <v>92</v>
      </c>
      <c r="C25" s="46">
        <v>2150.5</v>
      </c>
      <c r="D25" s="48" t="s">
        <v>89</v>
      </c>
      <c r="E25" s="46">
        <f>C25-C23</f>
        <v>1059.5</v>
      </c>
      <c r="F25" s="49" t="s">
        <v>90</v>
      </c>
      <c r="G25" s="52">
        <v>0.99750000000000005</v>
      </c>
    </row>
    <row r="26" spans="2:10" x14ac:dyDescent="0.2">
      <c r="G26" s="50"/>
    </row>
    <row r="27" spans="2:10" x14ac:dyDescent="0.2">
      <c r="G27" s="50"/>
    </row>
    <row r="28" spans="2:10" ht="18" x14ac:dyDescent="0.3">
      <c r="F28" s="54" t="s">
        <v>91</v>
      </c>
      <c r="G28" s="55">
        <f>G25*E24/(E24-(C21-C22))</f>
        <v>2.6664199517296847</v>
      </c>
    </row>
    <row r="29" spans="2:10" ht="18" x14ac:dyDescent="0.3">
      <c r="F29" s="54" t="s">
        <v>93</v>
      </c>
      <c r="G29" s="55">
        <f>G25*E24/(E25-(C21-C22))</f>
        <v>2.2826170798898069</v>
      </c>
    </row>
    <row r="30" spans="2:10" ht="18" x14ac:dyDescent="0.3">
      <c r="F30" s="54" t="s">
        <v>94</v>
      </c>
      <c r="G30" s="55">
        <f>G25*E25/(E25-(C21-C22))</f>
        <v>2.4261966253443523</v>
      </c>
      <c r="H30" s="15" t="s">
        <v>9</v>
      </c>
      <c r="I30" s="56">
        <f>G30</f>
        <v>2.4261966253443523</v>
      </c>
      <c r="J30" s="56">
        <f>G29+G25*(1-G29/G28)</f>
        <v>2.4261966253443519</v>
      </c>
    </row>
    <row r="31" spans="2:10" x14ac:dyDescent="0.2">
      <c r="G31" s="50"/>
      <c r="I31" s="107" t="s">
        <v>95</v>
      </c>
      <c r="J31" s="107"/>
    </row>
    <row r="32" spans="2:10" x14ac:dyDescent="0.2">
      <c r="G32" s="50"/>
    </row>
    <row r="33" spans="2:7" x14ac:dyDescent="0.2">
      <c r="F33" s="54" t="s">
        <v>96</v>
      </c>
      <c r="G33" s="55">
        <f>100*(E25-E24)/E24</f>
        <v>6.2901284109149085</v>
      </c>
    </row>
    <row r="35" spans="2:7" ht="15.75" thickBot="1" x14ac:dyDescent="0.25"/>
    <row r="36" spans="2:7" ht="19.5" thickBot="1" x14ac:dyDescent="0.3">
      <c r="B36" s="6" t="s">
        <v>17</v>
      </c>
    </row>
    <row r="38" spans="2:7" ht="18" x14ac:dyDescent="0.3">
      <c r="B38" s="54" t="s">
        <v>91</v>
      </c>
      <c r="C38" s="58">
        <f>AVERAGE(G11,G28)</f>
        <v>2.6573604388278067</v>
      </c>
    </row>
    <row r="39" spans="2:7" ht="18" x14ac:dyDescent="0.3">
      <c r="B39" s="54" t="s">
        <v>93</v>
      </c>
      <c r="C39" s="58">
        <f>AVERAGE(G12,G29)</f>
        <v>2.2777979439184142</v>
      </c>
    </row>
    <row r="40" spans="2:7" ht="18" x14ac:dyDescent="0.3">
      <c r="B40" s="54" t="s">
        <v>94</v>
      </c>
      <c r="C40" s="58">
        <f>AVERAGE(G13,G30)</f>
        <v>2.4202714914801238</v>
      </c>
    </row>
    <row r="41" spans="2:7" x14ac:dyDescent="0.2">
      <c r="C41" s="51"/>
    </row>
    <row r="42" spans="2:7" x14ac:dyDescent="0.2">
      <c r="C42" s="51"/>
    </row>
    <row r="43" spans="2:7" x14ac:dyDescent="0.2">
      <c r="B43" s="54" t="s">
        <v>96</v>
      </c>
      <c r="C43" s="58">
        <f>AVERAGE(G16,G33)</f>
        <v>6.2548061259410623</v>
      </c>
      <c r="D43" s="32" t="s">
        <v>97</v>
      </c>
    </row>
  </sheetData>
  <mergeCells count="2">
    <mergeCell ref="I14:J14"/>
    <mergeCell ref="I31:J31"/>
  </mergeCells>
  <pageMargins left="0.7" right="0.7" top="0.75" bottom="0.75" header="0.3" footer="0.3"/>
  <pageSetup paperSize="9" orientation="portrait" horizontalDpi="4294967292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J43"/>
  <sheetViews>
    <sheetView topLeftCell="B28" workbookViewId="0">
      <selection activeCell="D40" sqref="D40"/>
    </sheetView>
  </sheetViews>
  <sheetFormatPr defaultColWidth="10.76171875" defaultRowHeight="15" x14ac:dyDescent="0.2"/>
  <cols>
    <col min="2" max="2" width="59.99609375" bestFit="1" customWidth="1"/>
    <col min="4" max="4" width="29.59375" bestFit="1" customWidth="1"/>
    <col min="5" max="5" width="11.703125" customWidth="1"/>
    <col min="6" max="6" width="60.3984375" bestFit="1" customWidth="1"/>
    <col min="8" max="8" width="13.046875" bestFit="1" customWidth="1"/>
  </cols>
  <sheetData>
    <row r="1" spans="2:10" ht="15.75" thickBot="1" x14ac:dyDescent="0.25"/>
    <row r="2" spans="2:10" ht="19.5" thickBot="1" x14ac:dyDescent="0.3">
      <c r="B2" s="6" t="s">
        <v>5</v>
      </c>
    </row>
    <row r="4" spans="2:10" ht="18" x14ac:dyDescent="0.3">
      <c r="B4" s="45" t="s">
        <v>85</v>
      </c>
      <c r="C4" s="46">
        <v>2179</v>
      </c>
    </row>
    <row r="5" spans="2:10" ht="18" x14ac:dyDescent="0.3">
      <c r="B5" s="45" t="s">
        <v>86</v>
      </c>
      <c r="C5" s="46">
        <v>1854.4</v>
      </c>
    </row>
    <row r="6" spans="2:10" x14ac:dyDescent="0.2">
      <c r="B6" s="45" t="s">
        <v>6</v>
      </c>
      <c r="C6" s="46">
        <v>1090.9000000000001</v>
      </c>
    </row>
    <row r="7" spans="2:10" ht="18" x14ac:dyDescent="0.3">
      <c r="B7" s="45" t="s">
        <v>88</v>
      </c>
      <c r="C7" s="46">
        <v>1610.3</v>
      </c>
      <c r="D7" s="48" t="s">
        <v>87</v>
      </c>
      <c r="E7" s="46">
        <f>C7-C6</f>
        <v>519.39999999999986</v>
      </c>
    </row>
    <row r="8" spans="2:10" ht="18" x14ac:dyDescent="0.3">
      <c r="B8" s="45" t="s">
        <v>92</v>
      </c>
      <c r="C8" s="46">
        <v>1648</v>
      </c>
      <c r="D8" s="48" t="s">
        <v>89</v>
      </c>
      <c r="E8" s="46">
        <f>C8-C6</f>
        <v>557.09999999999991</v>
      </c>
      <c r="F8" s="49" t="s">
        <v>90</v>
      </c>
      <c r="G8" s="52">
        <v>0.99750000000000005</v>
      </c>
    </row>
    <row r="9" spans="2:10" x14ac:dyDescent="0.2">
      <c r="G9" s="50"/>
    </row>
    <row r="10" spans="2:10" x14ac:dyDescent="0.2">
      <c r="G10" s="50"/>
    </row>
    <row r="11" spans="2:10" ht="18" x14ac:dyDescent="0.3">
      <c r="F11" s="54" t="s">
        <v>91</v>
      </c>
      <c r="G11" s="55">
        <f>G8*E7/(E7-(C4-C5))</f>
        <v>2.6596586242299796</v>
      </c>
    </row>
    <row r="12" spans="2:10" ht="18" x14ac:dyDescent="0.3">
      <c r="F12" s="54" t="s">
        <v>93</v>
      </c>
      <c r="G12" s="55">
        <f>G8*E7/(E8-(C4-C5))</f>
        <v>2.2283935483870962</v>
      </c>
    </row>
    <row r="13" spans="2:10" ht="18" x14ac:dyDescent="0.3">
      <c r="F13" s="54" t="s">
        <v>94</v>
      </c>
      <c r="G13" s="55">
        <f>G8*E8/(E8-(C4-C5))</f>
        <v>2.3901387096774189</v>
      </c>
      <c r="H13" s="15" t="s">
        <v>9</v>
      </c>
      <c r="I13" s="56">
        <f>G13</f>
        <v>2.3901387096774189</v>
      </c>
      <c r="J13" s="56">
        <f>G12+G8*(1-G12/G11)</f>
        <v>2.3901387096774189</v>
      </c>
    </row>
    <row r="14" spans="2:10" x14ac:dyDescent="0.2">
      <c r="G14" s="50"/>
      <c r="I14" s="107" t="s">
        <v>95</v>
      </c>
      <c r="J14" s="107"/>
    </row>
    <row r="15" spans="2:10" x14ac:dyDescent="0.2">
      <c r="G15" s="50"/>
    </row>
    <row r="16" spans="2:10" x14ac:dyDescent="0.2">
      <c r="F16" s="54" t="s">
        <v>96</v>
      </c>
      <c r="G16" s="55">
        <f>100*(E8-E7)/E7</f>
        <v>7.2583750481324714</v>
      </c>
    </row>
    <row r="17" spans="2:10" x14ac:dyDescent="0.2">
      <c r="G17" s="50"/>
    </row>
    <row r="18" spans="2:10" ht="15.75" thickBot="1" x14ac:dyDescent="0.25">
      <c r="G18" s="50"/>
    </row>
    <row r="19" spans="2:10" ht="19.5" thickBot="1" x14ac:dyDescent="0.3">
      <c r="B19" s="6" t="s">
        <v>15</v>
      </c>
    </row>
    <row r="21" spans="2:10" ht="18" x14ac:dyDescent="0.3">
      <c r="B21" s="45" t="s">
        <v>85</v>
      </c>
      <c r="C21" s="46">
        <v>1301.4000000000001</v>
      </c>
    </row>
    <row r="22" spans="2:10" ht="18" x14ac:dyDescent="0.3">
      <c r="B22" s="45" t="s">
        <v>86</v>
      </c>
      <c r="C22" s="46">
        <v>1036.0999999999999</v>
      </c>
    </row>
    <row r="23" spans="2:10" x14ac:dyDescent="0.2">
      <c r="B23" s="45" t="s">
        <v>6</v>
      </c>
      <c r="C23" s="46">
        <v>3491.2</v>
      </c>
    </row>
    <row r="24" spans="2:10" ht="18" x14ac:dyDescent="0.3">
      <c r="B24" s="45" t="s">
        <v>88</v>
      </c>
      <c r="C24" s="46">
        <v>3920.6</v>
      </c>
      <c r="D24" s="48" t="s">
        <v>87</v>
      </c>
      <c r="E24" s="46">
        <f>C24-C23</f>
        <v>429.40000000000009</v>
      </c>
    </row>
    <row r="25" spans="2:10" ht="18" x14ac:dyDescent="0.3">
      <c r="B25" s="45" t="s">
        <v>92</v>
      </c>
      <c r="C25" s="46">
        <v>3952.6</v>
      </c>
      <c r="D25" s="48" t="s">
        <v>89</v>
      </c>
      <c r="E25" s="46">
        <f>C25-C23</f>
        <v>461.40000000000009</v>
      </c>
      <c r="F25" s="49" t="s">
        <v>90</v>
      </c>
      <c r="G25" s="52">
        <v>0.99750000000000005</v>
      </c>
    </row>
    <row r="26" spans="2:10" x14ac:dyDescent="0.2">
      <c r="G26" s="50"/>
    </row>
    <row r="27" spans="2:10" x14ac:dyDescent="0.2">
      <c r="G27" s="50"/>
    </row>
    <row r="28" spans="2:10" ht="18" x14ac:dyDescent="0.3">
      <c r="F28" s="54" t="s">
        <v>91</v>
      </c>
      <c r="G28" s="55">
        <f>G25*E24/(E24-(C21-C22))</f>
        <v>2.6101553930530188</v>
      </c>
    </row>
    <row r="29" spans="2:10" ht="18" x14ac:dyDescent="0.3">
      <c r="F29" s="54" t="s">
        <v>93</v>
      </c>
      <c r="G29" s="55">
        <f>G25*E24/(E25-(C21-C22))</f>
        <v>2.1842248852626227</v>
      </c>
    </row>
    <row r="30" spans="2:10" ht="18" x14ac:dyDescent="0.3">
      <c r="F30" s="54" t="s">
        <v>94</v>
      </c>
      <c r="G30" s="55">
        <f>G25*E25/(E25-(C21-C22))</f>
        <v>2.3469989801121893</v>
      </c>
      <c r="H30" s="15" t="s">
        <v>9</v>
      </c>
      <c r="I30" s="56">
        <f>G30</f>
        <v>2.3469989801121893</v>
      </c>
      <c r="J30" s="56">
        <f>G29+G25*(1-G29/G28)</f>
        <v>2.3469989801121893</v>
      </c>
    </row>
    <row r="31" spans="2:10" x14ac:dyDescent="0.2">
      <c r="G31" s="50"/>
      <c r="I31" s="107" t="s">
        <v>95</v>
      </c>
      <c r="J31" s="107"/>
    </row>
    <row r="32" spans="2:10" x14ac:dyDescent="0.2">
      <c r="G32" s="50"/>
    </row>
    <row r="33" spans="2:7" x14ac:dyDescent="0.2">
      <c r="F33" s="54" t="s">
        <v>96</v>
      </c>
      <c r="G33" s="55">
        <f>100*(E25-E24)/E24</f>
        <v>7.452258965999067</v>
      </c>
    </row>
    <row r="35" spans="2:7" ht="15.75" thickBot="1" x14ac:dyDescent="0.25"/>
    <row r="36" spans="2:7" ht="19.5" thickBot="1" x14ac:dyDescent="0.3">
      <c r="B36" s="6" t="s">
        <v>17</v>
      </c>
    </row>
    <row r="38" spans="2:7" ht="18" x14ac:dyDescent="0.3">
      <c r="B38" s="54" t="s">
        <v>91</v>
      </c>
      <c r="C38" s="58">
        <f>AVERAGE(G11,G28)</f>
        <v>2.6349070086414992</v>
      </c>
    </row>
    <row r="39" spans="2:7" ht="18" x14ac:dyDescent="0.3">
      <c r="B39" s="54" t="s">
        <v>93</v>
      </c>
      <c r="C39" s="58">
        <f>AVERAGE(G12,G29)</f>
        <v>2.2063092168248595</v>
      </c>
    </row>
    <row r="40" spans="2:7" ht="18" x14ac:dyDescent="0.3">
      <c r="B40" s="54" t="s">
        <v>94</v>
      </c>
      <c r="C40" s="58">
        <f>AVERAGE(G13,G30)</f>
        <v>2.3685688448948041</v>
      </c>
    </row>
    <row r="41" spans="2:7" x14ac:dyDescent="0.2">
      <c r="C41" s="51"/>
    </row>
    <row r="42" spans="2:7" x14ac:dyDescent="0.2">
      <c r="C42" s="51"/>
    </row>
    <row r="43" spans="2:7" x14ac:dyDescent="0.2">
      <c r="B43" s="54" t="s">
        <v>96</v>
      </c>
      <c r="C43" s="58">
        <f>AVERAGE(G16,G33)</f>
        <v>7.3553170070657696</v>
      </c>
      <c r="D43" s="87" t="s">
        <v>244</v>
      </c>
    </row>
  </sheetData>
  <mergeCells count="2">
    <mergeCell ref="I14:J14"/>
    <mergeCell ref="I31:J31"/>
  </mergeCells>
  <pageMargins left="0.7" right="0.7" top="0.75" bottom="0.75" header="0.3" footer="0.3"/>
  <pageSetup paperSize="9" orientation="portrait" horizontalDpi="4294967292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Hoja10"/>
  <dimension ref="B1:E26"/>
  <sheetViews>
    <sheetView topLeftCell="A7" workbookViewId="0">
      <selection activeCell="E11" sqref="E11"/>
    </sheetView>
  </sheetViews>
  <sheetFormatPr defaultColWidth="10.76171875" defaultRowHeight="15" x14ac:dyDescent="0.2"/>
  <cols>
    <col min="2" max="2" width="28.65234375" bestFit="1" customWidth="1"/>
    <col min="4" max="4" width="24.34765625" bestFit="1" customWidth="1"/>
  </cols>
  <sheetData>
    <row r="1" spans="2:5" ht="15.75" thickBot="1" x14ac:dyDescent="0.25"/>
    <row r="2" spans="2:5" ht="19.5" thickBot="1" x14ac:dyDescent="0.3">
      <c r="B2" s="6" t="s">
        <v>5</v>
      </c>
    </row>
    <row r="4" spans="2:5" x14ac:dyDescent="0.2">
      <c r="B4" s="45" t="s">
        <v>98</v>
      </c>
      <c r="C4" s="46">
        <v>1091</v>
      </c>
    </row>
    <row r="5" spans="2:5" x14ac:dyDescent="0.2">
      <c r="B5" s="45" t="s">
        <v>99</v>
      </c>
      <c r="C5" s="46">
        <v>1951.2</v>
      </c>
    </row>
    <row r="6" spans="2:5" x14ac:dyDescent="0.2">
      <c r="C6" s="46"/>
    </row>
    <row r="7" spans="2:5" x14ac:dyDescent="0.2">
      <c r="B7" s="45" t="s">
        <v>100</v>
      </c>
      <c r="C7" s="46">
        <v>1095.5999999999999</v>
      </c>
      <c r="D7" s="48" t="s">
        <v>102</v>
      </c>
      <c r="E7" s="46">
        <f>C5-C4</f>
        <v>860.2</v>
      </c>
    </row>
    <row r="8" spans="2:5" x14ac:dyDescent="0.2">
      <c r="B8" s="45" t="s">
        <v>101</v>
      </c>
      <c r="C8" s="46">
        <v>2000.6</v>
      </c>
      <c r="D8" s="48" t="s">
        <v>103</v>
      </c>
      <c r="E8" s="46">
        <f>C8-C7</f>
        <v>905</v>
      </c>
    </row>
    <row r="10" spans="2:5" x14ac:dyDescent="0.2">
      <c r="D10" s="54" t="s">
        <v>104</v>
      </c>
      <c r="E10" s="55">
        <f>100*(E8-E7)/E7</f>
        <v>5.2080911415949727</v>
      </c>
    </row>
    <row r="12" spans="2:5" ht="15.75" thickBot="1" x14ac:dyDescent="0.25"/>
    <row r="13" spans="2:5" ht="19.5" thickBot="1" x14ac:dyDescent="0.3">
      <c r="B13" s="6" t="s">
        <v>15</v>
      </c>
    </row>
    <row r="15" spans="2:5" x14ac:dyDescent="0.2">
      <c r="B15" s="45" t="s">
        <v>98</v>
      </c>
      <c r="C15" s="46">
        <v>1091</v>
      </c>
    </row>
    <row r="16" spans="2:5" x14ac:dyDescent="0.2">
      <c r="B16" s="45" t="s">
        <v>99</v>
      </c>
      <c r="C16" s="46">
        <v>2087.8000000000002</v>
      </c>
    </row>
    <row r="17" spans="2:5" x14ac:dyDescent="0.2">
      <c r="C17" s="46"/>
    </row>
    <row r="18" spans="2:5" x14ac:dyDescent="0.2">
      <c r="B18" s="45" t="s">
        <v>100</v>
      </c>
      <c r="C18" s="46">
        <v>1096.9000000000001</v>
      </c>
      <c r="D18" s="48" t="s">
        <v>102</v>
      </c>
      <c r="E18" s="46">
        <f>C16-C15</f>
        <v>996.80000000000018</v>
      </c>
    </row>
    <row r="19" spans="2:5" x14ac:dyDescent="0.2">
      <c r="B19" s="45" t="s">
        <v>101</v>
      </c>
      <c r="C19" s="46">
        <v>2147.1</v>
      </c>
      <c r="D19" s="48" t="s">
        <v>103</v>
      </c>
      <c r="E19" s="46">
        <f>C19-C18</f>
        <v>1050.1999999999998</v>
      </c>
    </row>
    <row r="21" spans="2:5" x14ac:dyDescent="0.2">
      <c r="D21" s="54" t="s">
        <v>104</v>
      </c>
      <c r="E21" s="55">
        <f>100*(E19-E18)/E18</f>
        <v>5.3571428571428195</v>
      </c>
    </row>
    <row r="23" spans="2:5" ht="15.75" thickBot="1" x14ac:dyDescent="0.25"/>
    <row r="24" spans="2:5" ht="19.5" thickBot="1" x14ac:dyDescent="0.3">
      <c r="B24" s="6" t="s">
        <v>17</v>
      </c>
    </row>
    <row r="26" spans="2:5" x14ac:dyDescent="0.2">
      <c r="B26" s="54" t="s">
        <v>104</v>
      </c>
      <c r="C26" s="55">
        <f>AVERAGE(E10,E21)</f>
        <v>5.2826169993688961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B1:E20"/>
  <sheetViews>
    <sheetView workbookViewId="0">
      <selection activeCell="C7" sqref="C7"/>
    </sheetView>
  </sheetViews>
  <sheetFormatPr defaultColWidth="10.76171875" defaultRowHeight="15" x14ac:dyDescent="0.2"/>
  <cols>
    <col min="2" max="2" width="28.65234375" bestFit="1" customWidth="1"/>
    <col min="4" max="4" width="24.34765625" bestFit="1" customWidth="1"/>
  </cols>
  <sheetData>
    <row r="1" spans="2:5" ht="15.75" thickBot="1" x14ac:dyDescent="0.25"/>
    <row r="2" spans="2:5" ht="19.5" thickBot="1" x14ac:dyDescent="0.3">
      <c r="B2" s="6" t="s">
        <v>5</v>
      </c>
    </row>
    <row r="4" spans="2:5" x14ac:dyDescent="0.2">
      <c r="B4" s="45" t="s">
        <v>6</v>
      </c>
      <c r="C4" s="46">
        <v>1090.9000000000001</v>
      </c>
    </row>
    <row r="5" spans="2:5" x14ac:dyDescent="0.2">
      <c r="B5" s="45" t="s">
        <v>99</v>
      </c>
      <c r="C5" s="46">
        <v>1609.7</v>
      </c>
      <c r="D5" s="48" t="s">
        <v>102</v>
      </c>
      <c r="E5" s="46">
        <f>C5-C4</f>
        <v>518.79999999999995</v>
      </c>
    </row>
    <row r="6" spans="2:5" x14ac:dyDescent="0.2">
      <c r="B6" s="45" t="s">
        <v>92</v>
      </c>
      <c r="C6" s="46">
        <v>1639.3</v>
      </c>
      <c r="D6" s="48" t="s">
        <v>103</v>
      </c>
      <c r="E6" s="46">
        <f>C6-C4</f>
        <v>548.39999999999986</v>
      </c>
    </row>
    <row r="8" spans="2:5" x14ac:dyDescent="0.2">
      <c r="D8" s="54" t="s">
        <v>104</v>
      </c>
      <c r="E8" s="55">
        <f>100*(E6-E5)/E5</f>
        <v>5.7054741711642079</v>
      </c>
    </row>
    <row r="9" spans="2:5" ht="15.75" thickBot="1" x14ac:dyDescent="0.25"/>
    <row r="10" spans="2:5" ht="19.5" thickBot="1" x14ac:dyDescent="0.3">
      <c r="B10" s="6" t="s">
        <v>15</v>
      </c>
    </row>
    <row r="12" spans="2:5" x14ac:dyDescent="0.2">
      <c r="B12" s="45" t="s">
        <v>6</v>
      </c>
      <c r="C12" s="46">
        <v>3491.2</v>
      </c>
    </row>
    <row r="13" spans="2:5" x14ac:dyDescent="0.2">
      <c r="B13" s="45" t="s">
        <v>99</v>
      </c>
      <c r="C13" s="46">
        <v>3920.4</v>
      </c>
      <c r="D13" s="48" t="s">
        <v>102</v>
      </c>
      <c r="E13" s="46">
        <f>C13-C12</f>
        <v>429.20000000000027</v>
      </c>
    </row>
    <row r="14" spans="2:5" x14ac:dyDescent="0.2">
      <c r="B14" s="45" t="s">
        <v>92</v>
      </c>
      <c r="C14" s="46">
        <v>3947.7</v>
      </c>
      <c r="D14" s="48" t="s">
        <v>103</v>
      </c>
      <c r="E14" s="46">
        <f>C14-C12</f>
        <v>456.5</v>
      </c>
    </row>
    <row r="16" spans="2:5" x14ac:dyDescent="0.2">
      <c r="D16" s="54" t="s">
        <v>104</v>
      </c>
      <c r="E16" s="55">
        <f>100*(E14-E13)/E13</f>
        <v>6.3606710158433621</v>
      </c>
    </row>
    <row r="17" spans="2:3" ht="15.75" thickBot="1" x14ac:dyDescent="0.25"/>
    <row r="18" spans="2:3" ht="19.5" thickBot="1" x14ac:dyDescent="0.3">
      <c r="B18" s="6" t="s">
        <v>17</v>
      </c>
    </row>
    <row r="20" spans="2:3" x14ac:dyDescent="0.2">
      <c r="B20" s="54" t="s">
        <v>104</v>
      </c>
      <c r="C20" s="55">
        <f>AVERAGE(E8,E16)</f>
        <v>6.0330725935037854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B1:K135"/>
  <sheetViews>
    <sheetView topLeftCell="F71" zoomScaleNormal="100" workbookViewId="0">
      <selection activeCell="J78" sqref="J78"/>
    </sheetView>
  </sheetViews>
  <sheetFormatPr defaultColWidth="10.76171875" defaultRowHeight="15" x14ac:dyDescent="0.2"/>
  <cols>
    <col min="2" max="2" width="17.21875" bestFit="1" customWidth="1"/>
    <col min="3" max="5" width="37.6640625" bestFit="1" customWidth="1"/>
    <col min="6" max="6" width="33.765625" bestFit="1" customWidth="1"/>
    <col min="7" max="7" width="34.97265625" bestFit="1" customWidth="1"/>
    <col min="8" max="8" width="37.6640625" bestFit="1" customWidth="1"/>
    <col min="9" max="9" width="38.3359375" bestFit="1" customWidth="1"/>
    <col min="10" max="10" width="37.6640625" bestFit="1" customWidth="1"/>
    <col min="11" max="11" width="33.765625" bestFit="1" customWidth="1"/>
  </cols>
  <sheetData>
    <row r="1" spans="2:9" ht="15.75" thickBot="1" x14ac:dyDescent="0.25"/>
    <row r="2" spans="2:9" ht="19.5" thickBot="1" x14ac:dyDescent="0.3">
      <c r="B2" s="6" t="s">
        <v>5</v>
      </c>
    </row>
    <row r="4" spans="2:9" x14ac:dyDescent="0.2">
      <c r="B4" s="4" t="s">
        <v>6</v>
      </c>
      <c r="C4" s="7">
        <v>3500.4</v>
      </c>
      <c r="D4" s="5"/>
      <c r="E4" s="5"/>
    </row>
    <row r="5" spans="2:9" x14ac:dyDescent="0.2">
      <c r="B5" s="4" t="s">
        <v>7</v>
      </c>
      <c r="C5" s="7">
        <v>6225.7</v>
      </c>
      <c r="D5" s="4" t="s">
        <v>11</v>
      </c>
      <c r="E5" s="7">
        <f>C5-C4</f>
        <v>2725.2999999999997</v>
      </c>
    </row>
    <row r="8" spans="2:9" ht="18" x14ac:dyDescent="0.25">
      <c r="B8" s="10" t="s">
        <v>0</v>
      </c>
      <c r="C8" s="10" t="s">
        <v>1</v>
      </c>
      <c r="E8" s="10" t="s">
        <v>2</v>
      </c>
      <c r="F8" s="2"/>
      <c r="G8" s="10" t="s">
        <v>3</v>
      </c>
      <c r="H8" s="10" t="s">
        <v>10</v>
      </c>
      <c r="I8" s="10" t="s">
        <v>4</v>
      </c>
    </row>
    <row r="9" spans="2:9" x14ac:dyDescent="0.2">
      <c r="B9" s="2">
        <v>12.5</v>
      </c>
      <c r="C9" s="8">
        <v>22.2</v>
      </c>
      <c r="D9" s="8"/>
      <c r="E9" s="8">
        <f>C9</f>
        <v>22.2</v>
      </c>
      <c r="F9" s="3"/>
      <c r="G9" s="12">
        <f>C9/$E$5*100</f>
        <v>0.81458921953546404</v>
      </c>
      <c r="H9" s="8">
        <f>E9/$E$5*100</f>
        <v>0.81458921953546404</v>
      </c>
      <c r="I9" s="8">
        <f>100-H9</f>
        <v>99.185410780464537</v>
      </c>
    </row>
    <row r="10" spans="2:9" x14ac:dyDescent="0.2">
      <c r="B10" s="2">
        <v>11.2</v>
      </c>
      <c r="C10" s="8">
        <v>157.30000000000001</v>
      </c>
      <c r="D10" s="8"/>
      <c r="E10" s="8">
        <f>C10+E9</f>
        <v>179.5</v>
      </c>
      <c r="F10" s="3"/>
      <c r="G10" s="12">
        <f t="shared" ref="G10:G21" si="0">C10/$E$5*100</f>
        <v>5.7718416321138966</v>
      </c>
      <c r="H10" s="8">
        <f t="shared" ref="H10:H21" si="1">E10/$E$5*100</f>
        <v>6.5864308516493608</v>
      </c>
      <c r="I10" s="8">
        <f t="shared" ref="I10:I22" si="2">100-H10</f>
        <v>93.413569148350632</v>
      </c>
    </row>
    <row r="11" spans="2:9" x14ac:dyDescent="0.2">
      <c r="B11" s="2">
        <v>10</v>
      </c>
      <c r="C11" s="8">
        <v>220.7</v>
      </c>
      <c r="D11" s="8"/>
      <c r="E11" s="8">
        <f t="shared" ref="E11:E22" si="3">C11+E10</f>
        <v>400.2</v>
      </c>
      <c r="F11" s="3"/>
      <c r="G11" s="12">
        <f t="shared" si="0"/>
        <v>8.0981910248413023</v>
      </c>
      <c r="H11" s="8">
        <f t="shared" si="1"/>
        <v>14.684621876490663</v>
      </c>
      <c r="I11" s="8">
        <f t="shared" si="2"/>
        <v>85.315378123509333</v>
      </c>
    </row>
    <row r="12" spans="2:9" x14ac:dyDescent="0.2">
      <c r="B12" s="2">
        <v>8</v>
      </c>
      <c r="C12" s="8">
        <v>604.29999999999995</v>
      </c>
      <c r="D12" s="8"/>
      <c r="E12" s="8">
        <f t="shared" si="3"/>
        <v>1004.5</v>
      </c>
      <c r="F12" s="3"/>
      <c r="G12" s="12">
        <f t="shared" si="0"/>
        <v>22.173705647084724</v>
      </c>
      <c r="H12" s="8">
        <f t="shared" si="1"/>
        <v>36.85832752357539</v>
      </c>
      <c r="I12" s="8">
        <f t="shared" si="2"/>
        <v>63.14167247642461</v>
      </c>
    </row>
    <row r="13" spans="2:9" x14ac:dyDescent="0.2">
      <c r="B13" s="2">
        <v>6.3</v>
      </c>
      <c r="C13" s="8">
        <v>775</v>
      </c>
      <c r="D13" s="8"/>
      <c r="E13" s="8">
        <f t="shared" si="3"/>
        <v>1779.5</v>
      </c>
      <c r="F13" s="3"/>
      <c r="G13" s="12">
        <f t="shared" si="0"/>
        <v>28.437236267566878</v>
      </c>
      <c r="H13" s="8">
        <f t="shared" si="1"/>
        <v>65.295563791142257</v>
      </c>
      <c r="I13" s="8">
        <f t="shared" si="2"/>
        <v>34.704436208857743</v>
      </c>
    </row>
    <row r="14" spans="2:9" x14ac:dyDescent="0.2">
      <c r="B14" s="2">
        <v>5</v>
      </c>
      <c r="C14" s="8">
        <v>447.6</v>
      </c>
      <c r="D14" s="8"/>
      <c r="E14" s="8">
        <f t="shared" si="3"/>
        <v>2227.1</v>
      </c>
      <c r="F14" s="3"/>
      <c r="G14" s="12">
        <f t="shared" si="0"/>
        <v>16.423879939823141</v>
      </c>
      <c r="H14" s="8">
        <f t="shared" si="1"/>
        <v>81.719443730965395</v>
      </c>
      <c r="I14" s="8">
        <f t="shared" si="2"/>
        <v>18.280556269034605</v>
      </c>
    </row>
    <row r="15" spans="2:9" x14ac:dyDescent="0.2">
      <c r="B15" s="2">
        <v>4</v>
      </c>
      <c r="C15" s="8">
        <v>399</v>
      </c>
      <c r="D15" s="8"/>
      <c r="E15" s="8">
        <f t="shared" si="3"/>
        <v>2626.1</v>
      </c>
      <c r="F15" s="3"/>
      <c r="G15" s="12">
        <f t="shared" si="0"/>
        <v>14.640590026786043</v>
      </c>
      <c r="H15" s="8">
        <f t="shared" si="1"/>
        <v>96.360033757751452</v>
      </c>
      <c r="I15" s="8">
        <f t="shared" si="2"/>
        <v>3.6399662422485477</v>
      </c>
    </row>
    <row r="16" spans="2:9" x14ac:dyDescent="0.2">
      <c r="B16" s="2">
        <v>2</v>
      </c>
      <c r="C16" s="8">
        <v>92.6</v>
      </c>
      <c r="D16" s="8"/>
      <c r="E16" s="8">
        <f t="shared" si="3"/>
        <v>2718.7</v>
      </c>
      <c r="F16" s="3"/>
      <c r="G16" s="12">
        <f t="shared" si="0"/>
        <v>3.3977910688731514</v>
      </c>
      <c r="H16" s="8">
        <f t="shared" si="1"/>
        <v>99.757824826624599</v>
      </c>
      <c r="I16" s="8">
        <f t="shared" si="2"/>
        <v>0.24217517337540073</v>
      </c>
    </row>
    <row r="17" spans="2:9" x14ac:dyDescent="0.2">
      <c r="B17" s="2">
        <v>1</v>
      </c>
      <c r="C17" s="8">
        <v>1.8</v>
      </c>
      <c r="D17" s="8"/>
      <c r="E17" s="8">
        <f t="shared" si="3"/>
        <v>2720.5</v>
      </c>
      <c r="F17" s="3"/>
      <c r="G17" s="12">
        <f t="shared" si="0"/>
        <v>6.604777455692952E-2</v>
      </c>
      <c r="H17" s="8">
        <f t="shared" si="1"/>
        <v>99.823872601181534</v>
      </c>
      <c r="I17" s="8">
        <f t="shared" si="2"/>
        <v>0.17612739881846551</v>
      </c>
    </row>
    <row r="18" spans="2:9" x14ac:dyDescent="0.2">
      <c r="B18" s="2">
        <v>0.5</v>
      </c>
      <c r="C18" s="8">
        <v>0.7</v>
      </c>
      <c r="D18" s="8"/>
      <c r="E18" s="8">
        <f t="shared" si="3"/>
        <v>2721.2</v>
      </c>
      <c r="F18" s="3"/>
      <c r="G18" s="12">
        <f t="shared" si="0"/>
        <v>2.5685245661028144E-2</v>
      </c>
      <c r="H18" s="8">
        <f t="shared" si="1"/>
        <v>99.849557846842558</v>
      </c>
      <c r="I18" s="8">
        <f t="shared" si="2"/>
        <v>0.15044215315744225</v>
      </c>
    </row>
    <row r="19" spans="2:9" x14ac:dyDescent="0.2">
      <c r="B19" s="2">
        <v>0.25</v>
      </c>
      <c r="C19" s="8">
        <v>0.6</v>
      </c>
      <c r="D19" s="8"/>
      <c r="E19" s="8">
        <f t="shared" si="3"/>
        <v>2721.7999999999997</v>
      </c>
      <c r="F19" s="3"/>
      <c r="G19" s="12">
        <f t="shared" si="0"/>
        <v>2.201592485230984E-2</v>
      </c>
      <c r="H19" s="8">
        <f t="shared" si="1"/>
        <v>99.871573771694855</v>
      </c>
      <c r="I19" s="8">
        <f t="shared" si="2"/>
        <v>0.12842622830514472</v>
      </c>
    </row>
    <row r="20" spans="2:9" x14ac:dyDescent="0.2">
      <c r="B20" s="2">
        <v>0.125</v>
      </c>
      <c r="C20" s="8">
        <v>1.2</v>
      </c>
      <c r="D20" s="8"/>
      <c r="E20" s="8">
        <f t="shared" si="3"/>
        <v>2722.9999999999995</v>
      </c>
      <c r="F20" s="3"/>
      <c r="G20" s="12">
        <f t="shared" si="0"/>
        <v>4.403184970461968E-2</v>
      </c>
      <c r="H20" s="8">
        <f t="shared" si="1"/>
        <v>99.915605621399479</v>
      </c>
      <c r="I20" s="8">
        <f t="shared" si="2"/>
        <v>8.4394378600521236E-2</v>
      </c>
    </row>
    <row r="21" spans="2:9" x14ac:dyDescent="0.2">
      <c r="B21" s="2">
        <v>6.3E-2</v>
      </c>
      <c r="C21" s="8">
        <v>0.6</v>
      </c>
      <c r="D21" s="3" t="s">
        <v>8</v>
      </c>
      <c r="E21" s="8">
        <f t="shared" si="3"/>
        <v>2723.5999999999995</v>
      </c>
      <c r="F21" s="3" t="s">
        <v>8</v>
      </c>
      <c r="G21" s="12">
        <f t="shared" si="0"/>
        <v>2.201592485230984E-2</v>
      </c>
      <c r="H21" s="8">
        <f t="shared" si="1"/>
        <v>99.937621546251776</v>
      </c>
      <c r="I21" s="8">
        <f t="shared" si="2"/>
        <v>6.2378453748223706E-2</v>
      </c>
    </row>
    <row r="22" spans="2:9" x14ac:dyDescent="0.2">
      <c r="B22" s="2" t="s">
        <v>12</v>
      </c>
      <c r="C22" s="8">
        <v>0.8</v>
      </c>
      <c r="D22" s="8">
        <f>$E$5-(SUM(C9:C21))</f>
        <v>1.7000000000002728</v>
      </c>
      <c r="E22" s="8">
        <f t="shared" si="3"/>
        <v>2724.3999999999996</v>
      </c>
      <c r="F22" s="8">
        <f>E21+D22</f>
        <v>2725.2999999999997</v>
      </c>
      <c r="G22" s="12">
        <f>D22/$E$5*100</f>
        <v>6.2378453748221221E-2</v>
      </c>
      <c r="H22" s="8">
        <f>F22/$E$5*100</f>
        <v>100</v>
      </c>
      <c r="I22" s="8">
        <f t="shared" si="2"/>
        <v>0</v>
      </c>
    </row>
    <row r="24" spans="2:9" x14ac:dyDescent="0.2">
      <c r="D24" s="9"/>
      <c r="G24" t="s">
        <v>9</v>
      </c>
    </row>
    <row r="25" spans="2:9" x14ac:dyDescent="0.2">
      <c r="G25" s="16">
        <f>SUM(G9:G22)</f>
        <v>100.00000000000001</v>
      </c>
    </row>
    <row r="27" spans="2:9" ht="15.75" thickBot="1" x14ac:dyDescent="0.25"/>
    <row r="28" spans="2:9" ht="19.5" thickBot="1" x14ac:dyDescent="0.3">
      <c r="B28" s="6" t="s">
        <v>15</v>
      </c>
    </row>
    <row r="29" spans="2:9" x14ac:dyDescent="0.2">
      <c r="F29" s="74"/>
    </row>
    <row r="30" spans="2:9" x14ac:dyDescent="0.2">
      <c r="B30" s="4" t="s">
        <v>6</v>
      </c>
      <c r="C30" s="7">
        <v>3491.2</v>
      </c>
      <c r="D30" s="5"/>
      <c r="E30" s="5"/>
    </row>
    <row r="31" spans="2:9" x14ac:dyDescent="0.2">
      <c r="B31" s="4" t="s">
        <v>7</v>
      </c>
      <c r="C31" s="7">
        <v>6546.5</v>
      </c>
      <c r="D31" s="4" t="s">
        <v>11</v>
      </c>
      <c r="E31" s="7">
        <f>C31-C30</f>
        <v>3055.3</v>
      </c>
    </row>
    <row r="34" spans="2:11" ht="18" x14ac:dyDescent="0.25">
      <c r="B34" s="10" t="s">
        <v>0</v>
      </c>
      <c r="C34" s="10" t="s">
        <v>1</v>
      </c>
      <c r="E34" s="10" t="s">
        <v>2</v>
      </c>
      <c r="F34" s="2"/>
      <c r="G34" s="10" t="s">
        <v>3</v>
      </c>
      <c r="H34" s="10" t="s">
        <v>10</v>
      </c>
      <c r="I34" s="10" t="s">
        <v>4</v>
      </c>
    </row>
    <row r="35" spans="2:11" x14ac:dyDescent="0.2">
      <c r="B35" s="2">
        <v>12.5</v>
      </c>
      <c r="C35" s="8">
        <v>1.7</v>
      </c>
      <c r="D35" s="8"/>
      <c r="E35" s="8">
        <f>C35</f>
        <v>1.7</v>
      </c>
      <c r="F35" s="3"/>
      <c r="G35" s="12">
        <f>C35/$E$31*100</f>
        <v>5.5641017248715341E-2</v>
      </c>
      <c r="H35" s="8">
        <f>E35/$E$31*100</f>
        <v>5.5641017248715341E-2</v>
      </c>
      <c r="I35" s="8">
        <f>100-H35</f>
        <v>99.944358982751282</v>
      </c>
      <c r="J35" s="8"/>
      <c r="K35" s="8"/>
    </row>
    <row r="36" spans="2:11" x14ac:dyDescent="0.2">
      <c r="B36" s="2">
        <v>11.2</v>
      </c>
      <c r="C36" s="8">
        <v>152.5</v>
      </c>
      <c r="D36" s="8"/>
      <c r="E36" s="8">
        <f>C36+E35</f>
        <v>154.19999999999999</v>
      </c>
      <c r="F36" s="3"/>
      <c r="G36" s="12">
        <f t="shared" ref="G36:G47" si="4">C36/$E$31*100</f>
        <v>4.9913265473112292</v>
      </c>
      <c r="H36" s="8">
        <f t="shared" ref="H36:H47" si="5">E36/$E$31*100</f>
        <v>5.0469675645599441</v>
      </c>
      <c r="I36" s="8">
        <f t="shared" ref="I36:I48" si="6">100-H36</f>
        <v>94.953032435440051</v>
      </c>
      <c r="J36" s="8"/>
      <c r="K36" s="8"/>
    </row>
    <row r="37" spans="2:11" x14ac:dyDescent="0.2">
      <c r="B37" s="2">
        <v>10</v>
      </c>
      <c r="C37" s="8">
        <v>276.5</v>
      </c>
      <c r="D37" s="8"/>
      <c r="E37" s="8">
        <f t="shared" ref="E37:E48" si="7">C37+E36</f>
        <v>430.7</v>
      </c>
      <c r="F37" s="3"/>
      <c r="G37" s="12">
        <f t="shared" si="4"/>
        <v>9.0498478054528189</v>
      </c>
      <c r="H37" s="8">
        <f t="shared" si="5"/>
        <v>14.096815370012763</v>
      </c>
      <c r="I37" s="8">
        <f t="shared" si="6"/>
        <v>85.903184629987237</v>
      </c>
      <c r="J37" s="8"/>
      <c r="K37" s="8"/>
    </row>
    <row r="38" spans="2:11" x14ac:dyDescent="0.2">
      <c r="B38" s="2">
        <v>8</v>
      </c>
      <c r="C38" s="8">
        <v>696.1</v>
      </c>
      <c r="D38" s="8"/>
      <c r="E38" s="8">
        <f t="shared" si="7"/>
        <v>1126.8</v>
      </c>
      <c r="F38" s="3"/>
      <c r="G38" s="12">
        <f t="shared" si="4"/>
        <v>22.783360062841616</v>
      </c>
      <c r="H38" s="8">
        <f t="shared" si="5"/>
        <v>36.880175432854379</v>
      </c>
      <c r="I38" s="8">
        <f t="shared" si="6"/>
        <v>63.119824567145621</v>
      </c>
      <c r="J38" s="8"/>
      <c r="K38" s="8"/>
    </row>
    <row r="39" spans="2:11" x14ac:dyDescent="0.2">
      <c r="B39" s="2">
        <v>6.3</v>
      </c>
      <c r="C39" s="8">
        <v>708.8</v>
      </c>
      <c r="D39" s="8"/>
      <c r="E39" s="8">
        <f t="shared" si="7"/>
        <v>1835.6</v>
      </c>
      <c r="F39" s="3"/>
      <c r="G39" s="12">
        <f t="shared" si="4"/>
        <v>23.199031191699667</v>
      </c>
      <c r="H39" s="8">
        <f t="shared" si="5"/>
        <v>60.079206624554047</v>
      </c>
      <c r="I39" s="8">
        <f t="shared" si="6"/>
        <v>39.920793375445953</v>
      </c>
      <c r="J39" s="8"/>
      <c r="K39" s="8"/>
    </row>
    <row r="40" spans="2:11" x14ac:dyDescent="0.2">
      <c r="B40" s="2">
        <v>5</v>
      </c>
      <c r="C40" s="8">
        <v>585.9</v>
      </c>
      <c r="D40" s="8"/>
      <c r="E40" s="8">
        <f t="shared" si="7"/>
        <v>2421.5</v>
      </c>
      <c r="F40" s="3"/>
      <c r="G40" s="12">
        <f t="shared" si="4"/>
        <v>19.176512944719011</v>
      </c>
      <c r="H40" s="8">
        <f t="shared" si="5"/>
        <v>79.255719569273069</v>
      </c>
      <c r="I40" s="8">
        <f t="shared" si="6"/>
        <v>20.744280430726931</v>
      </c>
      <c r="J40" s="8"/>
      <c r="K40" s="8"/>
    </row>
    <row r="41" spans="2:11" x14ac:dyDescent="0.2">
      <c r="B41" s="2">
        <v>4</v>
      </c>
      <c r="C41" s="8">
        <v>468.8</v>
      </c>
      <c r="D41" s="8"/>
      <c r="E41" s="8">
        <f t="shared" si="7"/>
        <v>2890.3</v>
      </c>
      <c r="F41" s="3"/>
      <c r="G41" s="12">
        <f t="shared" si="4"/>
        <v>15.343828756586914</v>
      </c>
      <c r="H41" s="8">
        <f t="shared" si="5"/>
        <v>94.599548325859985</v>
      </c>
      <c r="I41" s="8">
        <f t="shared" si="6"/>
        <v>5.4004516741400153</v>
      </c>
      <c r="J41" s="8"/>
      <c r="K41" s="8"/>
    </row>
    <row r="42" spans="2:11" x14ac:dyDescent="0.2">
      <c r="B42" s="2">
        <v>2</v>
      </c>
      <c r="C42" s="8">
        <v>132.6</v>
      </c>
      <c r="D42" s="8"/>
      <c r="E42" s="8">
        <f t="shared" si="7"/>
        <v>3022.9</v>
      </c>
      <c r="F42" s="3"/>
      <c r="G42" s="12">
        <f t="shared" si="4"/>
        <v>4.3399993453997965</v>
      </c>
      <c r="H42" s="8">
        <f t="shared" si="5"/>
        <v>98.939547671259774</v>
      </c>
      <c r="I42" s="8">
        <f t="shared" si="6"/>
        <v>1.0604523287402259</v>
      </c>
      <c r="J42" s="8"/>
      <c r="K42" s="8"/>
    </row>
    <row r="43" spans="2:11" x14ac:dyDescent="0.2">
      <c r="B43" s="2">
        <v>1</v>
      </c>
      <c r="C43" s="8">
        <v>7.1</v>
      </c>
      <c r="D43" s="8"/>
      <c r="E43" s="8">
        <f t="shared" si="7"/>
        <v>3030</v>
      </c>
      <c r="F43" s="3"/>
      <c r="G43" s="12">
        <f t="shared" si="4"/>
        <v>0.2323830720387523</v>
      </c>
      <c r="H43" s="8">
        <f t="shared" si="5"/>
        <v>99.171930743298518</v>
      </c>
      <c r="I43" s="8">
        <f t="shared" si="6"/>
        <v>0.82806925670148246</v>
      </c>
      <c r="J43" s="8"/>
      <c r="K43" s="8"/>
    </row>
    <row r="44" spans="2:11" x14ac:dyDescent="0.2">
      <c r="B44" s="2">
        <v>0.5</v>
      </c>
      <c r="C44" s="8">
        <v>5.2</v>
      </c>
      <c r="D44" s="8"/>
      <c r="E44" s="8">
        <f t="shared" si="7"/>
        <v>3035.2</v>
      </c>
      <c r="F44" s="3"/>
      <c r="G44" s="12">
        <f t="shared" si="4"/>
        <v>0.17019605276077635</v>
      </c>
      <c r="H44" s="8">
        <f t="shared" si="5"/>
        <v>99.34212679605929</v>
      </c>
      <c r="I44" s="8">
        <f t="shared" si="6"/>
        <v>0.65787320394071003</v>
      </c>
      <c r="J44" s="8"/>
      <c r="K44" s="8"/>
    </row>
    <row r="45" spans="2:11" x14ac:dyDescent="0.2">
      <c r="B45" s="2">
        <v>0.25</v>
      </c>
      <c r="C45" s="8">
        <v>4.9000000000000004</v>
      </c>
      <c r="D45" s="8"/>
      <c r="E45" s="8">
        <f t="shared" si="7"/>
        <v>3040.1</v>
      </c>
      <c r="F45" s="3"/>
      <c r="G45" s="12">
        <f t="shared" si="4"/>
        <v>0.16037704971688541</v>
      </c>
      <c r="H45" s="8">
        <f t="shared" si="5"/>
        <v>99.502503845776175</v>
      </c>
      <c r="I45" s="8">
        <f t="shared" si="6"/>
        <v>0.49749615422382476</v>
      </c>
      <c r="J45" s="8"/>
      <c r="K45" s="8"/>
    </row>
    <row r="46" spans="2:11" x14ac:dyDescent="0.2">
      <c r="B46" s="2">
        <v>0.125</v>
      </c>
      <c r="C46" s="8">
        <v>4.0999999999999996</v>
      </c>
      <c r="D46" s="8"/>
      <c r="E46" s="8">
        <f t="shared" si="7"/>
        <v>3044.2</v>
      </c>
      <c r="F46" s="3"/>
      <c r="G46" s="12">
        <f t="shared" si="4"/>
        <v>0.13419304159984288</v>
      </c>
      <c r="H46" s="8">
        <f t="shared" si="5"/>
        <v>99.636696887376019</v>
      </c>
      <c r="I46" s="8">
        <f t="shared" si="6"/>
        <v>0.36330311262398141</v>
      </c>
      <c r="J46" s="8"/>
      <c r="K46" s="8"/>
    </row>
    <row r="47" spans="2:11" x14ac:dyDescent="0.2">
      <c r="B47" s="2">
        <v>6.3E-2</v>
      </c>
      <c r="C47" s="8">
        <v>2.9</v>
      </c>
      <c r="D47" s="3" t="s">
        <v>8</v>
      </c>
      <c r="E47" s="8">
        <f t="shared" si="7"/>
        <v>3047.1</v>
      </c>
      <c r="F47" s="3" t="s">
        <v>8</v>
      </c>
      <c r="G47" s="12">
        <f t="shared" si="4"/>
        <v>9.4917029424279112E-2</v>
      </c>
      <c r="H47" s="8">
        <f t="shared" si="5"/>
        <v>99.731613916800313</v>
      </c>
      <c r="I47" s="8">
        <f t="shared" si="6"/>
        <v>0.26838608319968671</v>
      </c>
      <c r="J47" s="8"/>
      <c r="K47" s="8"/>
    </row>
    <row r="48" spans="2:11" x14ac:dyDescent="0.2">
      <c r="B48" s="2" t="s">
        <v>12</v>
      </c>
      <c r="C48" s="8">
        <v>4.3</v>
      </c>
      <c r="D48" s="8">
        <f>$E$31-(SUM(C35:C47))</f>
        <v>8.2000000000002728</v>
      </c>
      <c r="E48" s="8">
        <f t="shared" si="7"/>
        <v>3051.4</v>
      </c>
      <c r="F48" s="8">
        <f>E47+D48</f>
        <v>3055.3</v>
      </c>
      <c r="G48" s="12">
        <f>D48/$E$31*100</f>
        <v>0.2683860831996947</v>
      </c>
      <c r="H48" s="8">
        <f>F48/$E$31*100</f>
        <v>100</v>
      </c>
      <c r="I48" s="8">
        <f t="shared" si="6"/>
        <v>0</v>
      </c>
      <c r="J48" s="8"/>
    </row>
    <row r="50" spans="2:10" x14ac:dyDescent="0.2">
      <c r="C50" t="s">
        <v>13</v>
      </c>
      <c r="D50" s="9"/>
      <c r="G50" t="s">
        <v>9</v>
      </c>
    </row>
    <row r="51" spans="2:10" x14ac:dyDescent="0.2">
      <c r="G51" s="16">
        <f>SUM(G35:G48)</f>
        <v>100</v>
      </c>
    </row>
    <row r="52" spans="2:10" ht="15.75" thickBot="1" x14ac:dyDescent="0.25"/>
    <row r="53" spans="2:10" ht="19.5" thickBot="1" x14ac:dyDescent="0.3">
      <c r="B53" s="6" t="s">
        <v>16</v>
      </c>
    </row>
    <row r="55" spans="2:10" ht="18" x14ac:dyDescent="0.25">
      <c r="C55" s="10" t="s">
        <v>10</v>
      </c>
      <c r="D55" s="10" t="s">
        <v>10</v>
      </c>
      <c r="E55" s="10" t="s">
        <v>10</v>
      </c>
      <c r="F55" s="10" t="s">
        <v>4</v>
      </c>
    </row>
    <row r="56" spans="2:10" ht="18" x14ac:dyDescent="0.25">
      <c r="B56" s="10" t="s">
        <v>0</v>
      </c>
      <c r="C56" s="10" t="s">
        <v>5</v>
      </c>
      <c r="D56" s="10" t="s">
        <v>15</v>
      </c>
      <c r="E56" s="10" t="s">
        <v>17</v>
      </c>
      <c r="F56" s="10" t="s">
        <v>17</v>
      </c>
    </row>
    <row r="57" spans="2:10" x14ac:dyDescent="0.2">
      <c r="B57" s="2">
        <v>12.5</v>
      </c>
      <c r="C57" s="8">
        <f>H9</f>
        <v>0.81458921953546404</v>
      </c>
      <c r="D57" s="8">
        <f>H35</f>
        <v>5.5641017248715341E-2</v>
      </c>
      <c r="E57" s="8">
        <f>(C57+D57)/2</f>
        <v>0.43511511839208972</v>
      </c>
      <c r="F57" s="39">
        <f>100-E57</f>
        <v>99.56488488160791</v>
      </c>
    </row>
    <row r="58" spans="2:10" x14ac:dyDescent="0.2">
      <c r="B58" s="2">
        <v>11.2</v>
      </c>
      <c r="C58" s="8">
        <f t="shared" ref="C58:C70" si="8">H10</f>
        <v>6.5864308516493608</v>
      </c>
      <c r="D58" s="8">
        <f t="shared" ref="D58:D69" si="9">H36</f>
        <v>5.0469675645599441</v>
      </c>
      <c r="E58" s="8">
        <f t="shared" ref="E58:E70" si="10">(C58+D58)/2</f>
        <v>5.8166992081046525</v>
      </c>
      <c r="F58" s="39">
        <f t="shared" ref="F58:F70" si="11">100-E58</f>
        <v>94.183300791895348</v>
      </c>
      <c r="G58" s="14" t="s">
        <v>18</v>
      </c>
      <c r="H58" s="18">
        <v>11.2</v>
      </c>
    </row>
    <row r="59" spans="2:10" x14ac:dyDescent="0.2">
      <c r="B59" s="2">
        <v>10</v>
      </c>
      <c r="C59" s="8">
        <f t="shared" si="8"/>
        <v>14.684621876490663</v>
      </c>
      <c r="D59" s="8">
        <f t="shared" si="9"/>
        <v>14.096815370012763</v>
      </c>
      <c r="E59" s="8">
        <f t="shared" si="10"/>
        <v>14.390718623251713</v>
      </c>
      <c r="F59" s="39">
        <f t="shared" si="11"/>
        <v>85.609281376748285</v>
      </c>
      <c r="G59" s="14" t="s">
        <v>19</v>
      </c>
      <c r="H59" s="19">
        <v>5</v>
      </c>
    </row>
    <row r="60" spans="2:10" x14ac:dyDescent="0.2">
      <c r="B60" s="2">
        <v>8</v>
      </c>
      <c r="C60" s="8">
        <f t="shared" si="8"/>
        <v>36.85832752357539</v>
      </c>
      <c r="D60" s="8">
        <f t="shared" si="9"/>
        <v>36.880175432854379</v>
      </c>
      <c r="E60" s="8">
        <f t="shared" si="10"/>
        <v>36.869251478214885</v>
      </c>
      <c r="F60" s="39">
        <f t="shared" si="11"/>
        <v>63.130748521785115</v>
      </c>
      <c r="H60" s="20"/>
    </row>
    <row r="61" spans="2:10" ht="18" x14ac:dyDescent="0.25">
      <c r="B61" s="2">
        <v>6.3</v>
      </c>
      <c r="C61" s="8">
        <f t="shared" si="8"/>
        <v>65.295563791142257</v>
      </c>
      <c r="D61" s="8">
        <f t="shared" si="9"/>
        <v>60.079206624554047</v>
      </c>
      <c r="E61" s="8">
        <f t="shared" si="10"/>
        <v>62.687385207848152</v>
      </c>
      <c r="F61" s="39">
        <f t="shared" si="11"/>
        <v>37.312614792151848</v>
      </c>
      <c r="H61" s="10" t="s">
        <v>5</v>
      </c>
      <c r="I61" s="10" t="s">
        <v>15</v>
      </c>
      <c r="J61" s="10" t="s">
        <v>17</v>
      </c>
    </row>
    <row r="62" spans="2:10" ht="18" x14ac:dyDescent="0.3">
      <c r="B62" s="2">
        <v>5</v>
      </c>
      <c r="C62" s="8">
        <f t="shared" si="8"/>
        <v>81.719443730965395</v>
      </c>
      <c r="D62" s="8">
        <f t="shared" si="9"/>
        <v>79.255719569273069</v>
      </c>
      <c r="E62" s="8">
        <f t="shared" si="10"/>
        <v>80.487581650119239</v>
      </c>
      <c r="F62" s="39">
        <f t="shared" si="11"/>
        <v>19.512418349880761</v>
      </c>
      <c r="G62" s="15" t="s">
        <v>20</v>
      </c>
      <c r="H62" s="21">
        <f>SUM(C57:C70)/100</f>
        <v>10.014750669651049</v>
      </c>
      <c r="I62" s="21">
        <f>SUM(D57:D70)/100</f>
        <v>9.8633849376493306</v>
      </c>
      <c r="J62" s="21">
        <f>SUM(E57:E70)/100</f>
        <v>9.9390678036501878</v>
      </c>
    </row>
    <row r="63" spans="2:10" x14ac:dyDescent="0.2">
      <c r="B63" s="2">
        <v>4</v>
      </c>
      <c r="C63" s="8">
        <f t="shared" si="8"/>
        <v>96.360033757751452</v>
      </c>
      <c r="D63" s="8">
        <f t="shared" si="9"/>
        <v>94.599548325859985</v>
      </c>
      <c r="E63" s="8">
        <f t="shared" si="10"/>
        <v>95.479791041805726</v>
      </c>
      <c r="F63" s="39">
        <f t="shared" si="11"/>
        <v>4.5202089581942744</v>
      </c>
    </row>
    <row r="64" spans="2:10" x14ac:dyDescent="0.2">
      <c r="B64" s="2">
        <v>2</v>
      </c>
      <c r="C64" s="8">
        <f t="shared" si="8"/>
        <v>99.757824826624599</v>
      </c>
      <c r="D64" s="8">
        <f t="shared" si="9"/>
        <v>98.939547671259774</v>
      </c>
      <c r="E64" s="8">
        <f t="shared" si="10"/>
        <v>99.348686248942187</v>
      </c>
      <c r="F64" s="39">
        <f t="shared" si="11"/>
        <v>0.65131375105781331</v>
      </c>
      <c r="G64" s="15" t="s">
        <v>21</v>
      </c>
      <c r="H64" s="22" t="s">
        <v>33</v>
      </c>
    </row>
    <row r="65" spans="2:11" x14ac:dyDescent="0.2">
      <c r="B65" s="2">
        <v>1</v>
      </c>
      <c r="C65" s="8">
        <f t="shared" si="8"/>
        <v>99.823872601181534</v>
      </c>
      <c r="D65" s="8">
        <f t="shared" si="9"/>
        <v>99.171930743298518</v>
      </c>
      <c r="E65" s="8">
        <f t="shared" si="10"/>
        <v>99.497901672240033</v>
      </c>
      <c r="F65" s="39">
        <f t="shared" si="11"/>
        <v>0.50209832775996688</v>
      </c>
      <c r="G65" s="15" t="s">
        <v>23</v>
      </c>
      <c r="H65" s="23" t="s">
        <v>34</v>
      </c>
      <c r="I65" t="s">
        <v>24</v>
      </c>
    </row>
    <row r="66" spans="2:11" x14ac:dyDescent="0.2">
      <c r="B66" s="2">
        <v>0.5</v>
      </c>
      <c r="C66" s="8">
        <f t="shared" si="8"/>
        <v>99.849557846842558</v>
      </c>
      <c r="D66" s="8">
        <f t="shared" si="9"/>
        <v>99.34212679605929</v>
      </c>
      <c r="E66" s="8">
        <f t="shared" si="10"/>
        <v>99.595842321450931</v>
      </c>
      <c r="F66" s="39">
        <f t="shared" si="11"/>
        <v>0.40415767854906903</v>
      </c>
    </row>
    <row r="67" spans="2:11" ht="18" x14ac:dyDescent="0.25">
      <c r="B67" s="2">
        <v>0.25</v>
      </c>
      <c r="C67" s="8">
        <f t="shared" si="8"/>
        <v>99.871573771694855</v>
      </c>
      <c r="D67" s="8">
        <f t="shared" si="9"/>
        <v>99.502503845776175</v>
      </c>
      <c r="E67" s="8">
        <f t="shared" si="10"/>
        <v>99.687038808735508</v>
      </c>
      <c r="F67" s="39">
        <f t="shared" si="11"/>
        <v>0.31296119126449184</v>
      </c>
      <c r="H67" s="10" t="s">
        <v>5</v>
      </c>
      <c r="I67" s="10" t="s">
        <v>15</v>
      </c>
      <c r="J67" s="10" t="s">
        <v>17</v>
      </c>
    </row>
    <row r="68" spans="2:11" x14ac:dyDescent="0.2">
      <c r="B68" s="2">
        <v>0.125</v>
      </c>
      <c r="C68" s="8">
        <f t="shared" si="8"/>
        <v>99.915605621399479</v>
      </c>
      <c r="D68" s="8">
        <f t="shared" si="9"/>
        <v>99.636696887376019</v>
      </c>
      <c r="E68" s="8">
        <f t="shared" si="10"/>
        <v>99.776151254387742</v>
      </c>
      <c r="F68" s="39">
        <f t="shared" si="11"/>
        <v>0.22384874561225843</v>
      </c>
      <c r="G68" s="15" t="s">
        <v>28</v>
      </c>
      <c r="H68" s="2">
        <v>1.7</v>
      </c>
      <c r="I68" s="2">
        <v>8.1999999999999993</v>
      </c>
      <c r="J68" s="8">
        <f>AVERAGE(H68:I68)</f>
        <v>4.9499999999999993</v>
      </c>
    </row>
    <row r="69" spans="2:11" x14ac:dyDescent="0.2">
      <c r="B69" s="2">
        <v>6.3E-2</v>
      </c>
      <c r="C69" s="8">
        <f t="shared" si="8"/>
        <v>99.937621546251776</v>
      </c>
      <c r="D69" s="8">
        <f t="shared" si="9"/>
        <v>99.731613916800313</v>
      </c>
      <c r="E69" s="8">
        <f t="shared" si="10"/>
        <v>99.834617731526038</v>
      </c>
      <c r="F69" s="39">
        <f t="shared" si="11"/>
        <v>0.16538226847396231</v>
      </c>
      <c r="G69" s="24" t="s">
        <v>27</v>
      </c>
      <c r="H69" s="8">
        <f>E5</f>
        <v>2725.2999999999997</v>
      </c>
      <c r="I69" s="8">
        <f>E31</f>
        <v>3055.3</v>
      </c>
      <c r="J69" s="8">
        <f>AVERAGE(H69:I69)</f>
        <v>2890.3</v>
      </c>
    </row>
    <row r="70" spans="2:11" x14ac:dyDescent="0.2">
      <c r="B70" s="2">
        <v>0</v>
      </c>
      <c r="C70" s="8">
        <f t="shared" si="8"/>
        <v>100</v>
      </c>
      <c r="D70" s="8">
        <f>H48</f>
        <v>100</v>
      </c>
      <c r="E70" s="8">
        <f t="shared" si="10"/>
        <v>100</v>
      </c>
      <c r="F70" s="39">
        <f t="shared" si="11"/>
        <v>0</v>
      </c>
      <c r="G70" s="24" t="s">
        <v>30</v>
      </c>
      <c r="H70" s="17">
        <f>100*H68/H69</f>
        <v>6.2378453748211216E-2</v>
      </c>
      <c r="I70" s="17">
        <f>I68*100/I69</f>
        <v>0.26838608319968577</v>
      </c>
      <c r="J70" s="17">
        <f>J68*100/J69</f>
        <v>0.1712624987025568</v>
      </c>
      <c r="K70" s="25" t="s">
        <v>29</v>
      </c>
    </row>
    <row r="71" spans="2:11" x14ac:dyDescent="0.2">
      <c r="G71" t="s">
        <v>26</v>
      </c>
      <c r="K71" s="25" t="s">
        <v>35</v>
      </c>
    </row>
    <row r="97" spans="2:6" ht="15.75" thickBot="1" x14ac:dyDescent="0.25"/>
    <row r="98" spans="2:6" ht="19.5" thickBot="1" x14ac:dyDescent="0.3">
      <c r="C98" s="6" t="s">
        <v>36</v>
      </c>
    </row>
    <row r="100" spans="2:6" ht="18" x14ac:dyDescent="0.25">
      <c r="C100" s="10" t="s">
        <v>4</v>
      </c>
      <c r="E100" s="10" t="s">
        <v>37</v>
      </c>
      <c r="F100" s="10" t="s">
        <v>37</v>
      </c>
    </row>
    <row r="101" spans="2:6" ht="18" x14ac:dyDescent="0.25">
      <c r="B101" s="10" t="s">
        <v>0</v>
      </c>
      <c r="C101" s="10" t="s">
        <v>17</v>
      </c>
      <c r="D101" s="10" t="s">
        <v>0</v>
      </c>
      <c r="E101" s="10" t="s">
        <v>38</v>
      </c>
      <c r="F101" s="10" t="s">
        <v>39</v>
      </c>
    </row>
    <row r="102" spans="2:6" x14ac:dyDescent="0.2">
      <c r="B102" s="2">
        <v>12.5</v>
      </c>
      <c r="C102" s="8">
        <f>F57</f>
        <v>99.56488488160791</v>
      </c>
      <c r="D102" s="2">
        <v>37.5</v>
      </c>
      <c r="E102" s="2">
        <v>100</v>
      </c>
      <c r="F102" s="2">
        <v>100</v>
      </c>
    </row>
    <row r="103" spans="2:6" x14ac:dyDescent="0.2">
      <c r="B103" s="2">
        <v>11.2</v>
      </c>
      <c r="C103" s="8">
        <f t="shared" ref="C103:C115" si="12">F58</f>
        <v>94.183300791895348</v>
      </c>
      <c r="D103" s="2">
        <v>25</v>
      </c>
      <c r="E103" s="2">
        <v>100</v>
      </c>
      <c r="F103" s="2">
        <v>100</v>
      </c>
    </row>
    <row r="104" spans="2:6" x14ac:dyDescent="0.2">
      <c r="B104" s="2">
        <v>10</v>
      </c>
      <c r="C104" s="8">
        <f t="shared" si="12"/>
        <v>85.609281376748285</v>
      </c>
      <c r="D104" s="2">
        <v>19</v>
      </c>
      <c r="E104" s="2">
        <v>90</v>
      </c>
      <c r="F104" s="2">
        <v>100</v>
      </c>
    </row>
    <row r="105" spans="2:6" x14ac:dyDescent="0.2">
      <c r="B105" s="2">
        <v>8</v>
      </c>
      <c r="C105" s="8">
        <f t="shared" si="12"/>
        <v>63.130748521785115</v>
      </c>
      <c r="D105" s="2">
        <v>12.5</v>
      </c>
      <c r="E105" s="2">
        <v>35</v>
      </c>
      <c r="F105" s="2">
        <v>80</v>
      </c>
    </row>
    <row r="106" spans="2:6" x14ac:dyDescent="0.2">
      <c r="B106" s="2">
        <v>6.3</v>
      </c>
      <c r="C106" s="8">
        <f t="shared" si="12"/>
        <v>37.312614792151848</v>
      </c>
      <c r="D106" s="2">
        <v>9.5</v>
      </c>
      <c r="E106" s="2">
        <v>20</v>
      </c>
      <c r="F106" s="2">
        <v>55</v>
      </c>
    </row>
    <row r="107" spans="2:6" x14ac:dyDescent="0.2">
      <c r="B107" s="2">
        <v>5</v>
      </c>
      <c r="C107" s="8">
        <f t="shared" si="12"/>
        <v>19.512418349880761</v>
      </c>
      <c r="D107" s="2">
        <v>4.75</v>
      </c>
      <c r="E107" s="2">
        <v>0</v>
      </c>
      <c r="F107" s="2">
        <v>10</v>
      </c>
    </row>
    <row r="108" spans="2:6" x14ac:dyDescent="0.2">
      <c r="B108" s="2">
        <v>4</v>
      </c>
      <c r="C108" s="8">
        <f t="shared" si="12"/>
        <v>4.5202089581942744</v>
      </c>
      <c r="D108" s="2">
        <v>2.63</v>
      </c>
      <c r="E108" s="2">
        <v>0</v>
      </c>
      <c r="F108" s="2">
        <v>5</v>
      </c>
    </row>
    <row r="109" spans="2:6" ht="18" x14ac:dyDescent="0.25">
      <c r="B109" s="2">
        <v>2</v>
      </c>
      <c r="C109" s="8">
        <f t="shared" si="12"/>
        <v>0.65131375105781331</v>
      </c>
      <c r="F109" s="29" t="s">
        <v>43</v>
      </c>
    </row>
    <row r="110" spans="2:6" x14ac:dyDescent="0.2">
      <c r="B110" s="2">
        <v>1</v>
      </c>
      <c r="C110" s="8">
        <f t="shared" si="12"/>
        <v>0.50209832775996688</v>
      </c>
      <c r="F110" s="2">
        <f>100-F102</f>
        <v>0</v>
      </c>
    </row>
    <row r="111" spans="2:6" x14ac:dyDescent="0.2">
      <c r="B111" s="2">
        <v>0.5</v>
      </c>
      <c r="C111" s="8">
        <f t="shared" si="12"/>
        <v>0.40415767854906903</v>
      </c>
      <c r="F111" s="2">
        <f t="shared" ref="F111:F116" si="13">100-F103</f>
        <v>0</v>
      </c>
    </row>
    <row r="112" spans="2:6" x14ac:dyDescent="0.2">
      <c r="B112" s="2">
        <v>0.25</v>
      </c>
      <c r="C112" s="8">
        <f t="shared" si="12"/>
        <v>0.31296119126449184</v>
      </c>
      <c r="F112" s="2">
        <f t="shared" si="13"/>
        <v>0</v>
      </c>
    </row>
    <row r="113" spans="2:6" x14ac:dyDescent="0.2">
      <c r="B113" s="2">
        <v>0.125</v>
      </c>
      <c r="C113" s="8">
        <f t="shared" si="12"/>
        <v>0.22384874561225843</v>
      </c>
      <c r="F113" s="2">
        <f t="shared" si="13"/>
        <v>20</v>
      </c>
    </row>
    <row r="114" spans="2:6" x14ac:dyDescent="0.2">
      <c r="B114" s="2">
        <v>6.3E-2</v>
      </c>
      <c r="C114" s="8">
        <f t="shared" si="12"/>
        <v>0.16538226847396231</v>
      </c>
      <c r="F114" s="2">
        <f t="shared" si="13"/>
        <v>45</v>
      </c>
    </row>
    <row r="115" spans="2:6" x14ac:dyDescent="0.2">
      <c r="B115" s="2">
        <v>0</v>
      </c>
      <c r="C115" s="8">
        <f t="shared" si="12"/>
        <v>0</v>
      </c>
      <c r="F115" s="2">
        <f t="shared" si="13"/>
        <v>90</v>
      </c>
    </row>
    <row r="116" spans="2:6" x14ac:dyDescent="0.2">
      <c r="F116" s="2">
        <f t="shared" si="13"/>
        <v>95</v>
      </c>
    </row>
    <row r="117" spans="2:6" ht="15.75" thickBot="1" x14ac:dyDescent="0.25"/>
    <row r="118" spans="2:6" ht="19.5" thickBot="1" x14ac:dyDescent="0.3">
      <c r="C118" s="6" t="s">
        <v>40</v>
      </c>
    </row>
    <row r="120" spans="2:6" ht="18" x14ac:dyDescent="0.25">
      <c r="C120" s="10" t="s">
        <v>4</v>
      </c>
      <c r="D120" s="10" t="s">
        <v>41</v>
      </c>
      <c r="E120" s="10" t="s">
        <v>41</v>
      </c>
    </row>
    <row r="121" spans="2:6" ht="20.25" x14ac:dyDescent="0.25">
      <c r="B121" s="10" t="s">
        <v>0</v>
      </c>
      <c r="C121" s="10" t="s">
        <v>17</v>
      </c>
      <c r="D121" s="10" t="s">
        <v>42</v>
      </c>
      <c r="E121" s="10" t="s">
        <v>43</v>
      </c>
    </row>
    <row r="122" spans="2:6" x14ac:dyDescent="0.2">
      <c r="B122" s="2">
        <v>12.5</v>
      </c>
      <c r="C122" s="8">
        <f>C102</f>
        <v>99.56488488160791</v>
      </c>
      <c r="D122" s="11">
        <f>100*(B122/$H$58)^0.5</f>
        <v>105.64428184106458</v>
      </c>
      <c r="E122" s="11">
        <f>100-D122</f>
        <v>-5.6442818410645827</v>
      </c>
    </row>
    <row r="123" spans="2:6" x14ac:dyDescent="0.2">
      <c r="B123" s="2">
        <v>11.2</v>
      </c>
      <c r="C123" s="8">
        <f t="shared" ref="C123:C135" si="14">C103</f>
        <v>94.183300791895348</v>
      </c>
      <c r="D123" s="11">
        <f t="shared" ref="D123:D135" si="15">100*(B123/$H$58)^0.5</f>
        <v>100</v>
      </c>
      <c r="E123" s="11">
        <f t="shared" ref="E123:E135" si="16">100-D123</f>
        <v>0</v>
      </c>
    </row>
    <row r="124" spans="2:6" x14ac:dyDescent="0.2">
      <c r="B124" s="2">
        <v>10</v>
      </c>
      <c r="C124" s="8">
        <f t="shared" si="14"/>
        <v>85.609281376748285</v>
      </c>
      <c r="D124" s="11">
        <f t="shared" si="15"/>
        <v>94.491118252306805</v>
      </c>
      <c r="E124" s="11">
        <f t="shared" si="16"/>
        <v>5.5088817476931951</v>
      </c>
    </row>
    <row r="125" spans="2:6" x14ac:dyDescent="0.2">
      <c r="B125" s="2">
        <v>8</v>
      </c>
      <c r="C125" s="8">
        <f t="shared" si="14"/>
        <v>63.130748521785115</v>
      </c>
      <c r="D125" s="11">
        <f t="shared" si="15"/>
        <v>84.515425472851661</v>
      </c>
      <c r="E125" s="11">
        <f t="shared" si="16"/>
        <v>15.484574527148339</v>
      </c>
    </row>
    <row r="126" spans="2:6" x14ac:dyDescent="0.2">
      <c r="B126" s="2">
        <v>6.3</v>
      </c>
      <c r="C126" s="8">
        <f t="shared" si="14"/>
        <v>37.312614792151848</v>
      </c>
      <c r="D126" s="11">
        <f t="shared" si="15"/>
        <v>75</v>
      </c>
      <c r="E126" s="11">
        <f t="shared" si="16"/>
        <v>25</v>
      </c>
    </row>
    <row r="127" spans="2:6" x14ac:dyDescent="0.2">
      <c r="B127" s="2">
        <v>5</v>
      </c>
      <c r="C127" s="8">
        <f t="shared" si="14"/>
        <v>19.512418349880761</v>
      </c>
      <c r="D127" s="11">
        <f t="shared" si="15"/>
        <v>66.815310478106099</v>
      </c>
      <c r="E127" s="11">
        <f t="shared" si="16"/>
        <v>33.184689521893901</v>
      </c>
    </row>
    <row r="128" spans="2:6" x14ac:dyDescent="0.2">
      <c r="B128" s="2">
        <v>4</v>
      </c>
      <c r="C128" s="8">
        <f t="shared" si="14"/>
        <v>4.5202089581942744</v>
      </c>
      <c r="D128" s="11">
        <f t="shared" si="15"/>
        <v>59.761430466719681</v>
      </c>
      <c r="E128" s="11">
        <f t="shared" si="16"/>
        <v>40.238569533280319</v>
      </c>
    </row>
    <row r="129" spans="2:10" x14ac:dyDescent="0.2">
      <c r="B129" s="2">
        <v>2</v>
      </c>
      <c r="C129" s="8">
        <f t="shared" si="14"/>
        <v>0.65131375105781331</v>
      </c>
      <c r="D129" s="11">
        <f t="shared" si="15"/>
        <v>42.25771273642583</v>
      </c>
      <c r="E129" s="11">
        <f t="shared" si="16"/>
        <v>57.74228726357417</v>
      </c>
    </row>
    <row r="130" spans="2:10" x14ac:dyDescent="0.2">
      <c r="B130" s="2">
        <v>1</v>
      </c>
      <c r="C130" s="8">
        <f t="shared" si="14"/>
        <v>0.50209832775996688</v>
      </c>
      <c r="D130" s="11">
        <f t="shared" si="15"/>
        <v>29.88071523335984</v>
      </c>
      <c r="E130" s="11">
        <f t="shared" si="16"/>
        <v>70.119284766640163</v>
      </c>
    </row>
    <row r="131" spans="2:10" x14ac:dyDescent="0.2">
      <c r="B131" s="2">
        <v>0.5</v>
      </c>
      <c r="C131" s="8">
        <f t="shared" si="14"/>
        <v>0.40415767854906903</v>
      </c>
      <c r="D131" s="11">
        <f t="shared" si="15"/>
        <v>21.128856368212915</v>
      </c>
      <c r="E131" s="11">
        <f t="shared" si="16"/>
        <v>78.871143631787078</v>
      </c>
    </row>
    <row r="132" spans="2:10" x14ac:dyDescent="0.2">
      <c r="B132" s="2">
        <v>0.25</v>
      </c>
      <c r="C132" s="8">
        <f t="shared" si="14"/>
        <v>0.31296119126449184</v>
      </c>
      <c r="D132" s="11">
        <f t="shared" si="15"/>
        <v>14.94035761667992</v>
      </c>
      <c r="E132" s="11">
        <f t="shared" si="16"/>
        <v>85.059642383320082</v>
      </c>
    </row>
    <row r="133" spans="2:10" x14ac:dyDescent="0.2">
      <c r="B133" s="2">
        <v>0.125</v>
      </c>
      <c r="C133" s="8">
        <f t="shared" si="14"/>
        <v>0.22384874561225843</v>
      </c>
      <c r="D133" s="11">
        <f t="shared" si="15"/>
        <v>10.564428184106458</v>
      </c>
      <c r="E133" s="11">
        <f t="shared" si="16"/>
        <v>89.435571815893539</v>
      </c>
    </row>
    <row r="134" spans="2:10" x14ac:dyDescent="0.2">
      <c r="B134" s="2">
        <v>6.3E-2</v>
      </c>
      <c r="C134" s="8">
        <f t="shared" si="14"/>
        <v>0.16538226847396231</v>
      </c>
      <c r="D134" s="11">
        <f t="shared" si="15"/>
        <v>7.5000000000000009</v>
      </c>
      <c r="E134" s="11">
        <f t="shared" si="16"/>
        <v>92.5</v>
      </c>
      <c r="I134" s="35" t="s">
        <v>54</v>
      </c>
      <c r="J134" s="35" t="s">
        <v>55</v>
      </c>
    </row>
    <row r="135" spans="2:10" x14ac:dyDescent="0.2">
      <c r="B135" s="2">
        <v>0</v>
      </c>
      <c r="C135" s="8">
        <f t="shared" si="14"/>
        <v>0</v>
      </c>
      <c r="D135" s="11">
        <f t="shared" si="15"/>
        <v>0</v>
      </c>
      <c r="E135" s="11">
        <f t="shared" si="16"/>
        <v>100</v>
      </c>
      <c r="I135" s="35" t="s">
        <v>53</v>
      </c>
    </row>
  </sheetData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Hoja11"/>
  <dimension ref="B1:F39"/>
  <sheetViews>
    <sheetView topLeftCell="A22" workbookViewId="0">
      <selection activeCell="E32" sqref="E32:F32"/>
    </sheetView>
  </sheetViews>
  <sheetFormatPr defaultColWidth="10.76171875" defaultRowHeight="15" x14ac:dyDescent="0.2"/>
  <cols>
    <col min="2" max="2" width="43.71875" bestFit="1" customWidth="1"/>
    <col min="3" max="3" width="35.51171875" bestFit="1" customWidth="1"/>
    <col min="4" max="4" width="43.71875" bestFit="1" customWidth="1"/>
    <col min="5" max="6" width="13.71875" bestFit="1" customWidth="1"/>
  </cols>
  <sheetData>
    <row r="1" spans="2:6" ht="15.75" thickBot="1" x14ac:dyDescent="0.25"/>
    <row r="2" spans="2:6" ht="19.5" thickBot="1" x14ac:dyDescent="0.3">
      <c r="B2" s="6" t="s">
        <v>5</v>
      </c>
    </row>
    <row r="4" spans="2:6" x14ac:dyDescent="0.2">
      <c r="B4" s="4" t="s">
        <v>6</v>
      </c>
      <c r="C4" s="7">
        <v>1096.8</v>
      </c>
      <c r="D4" s="5"/>
      <c r="E4" s="5"/>
    </row>
    <row r="5" spans="2:6" x14ac:dyDescent="0.2">
      <c r="B5" s="4" t="s">
        <v>7</v>
      </c>
      <c r="C5" s="7">
        <v>5272.9</v>
      </c>
      <c r="D5" s="4" t="s">
        <v>11</v>
      </c>
      <c r="E5" s="7">
        <f>C5-C4</f>
        <v>4176.0999999999995</v>
      </c>
    </row>
    <row r="7" spans="2:6" x14ac:dyDescent="0.2">
      <c r="D7" t="s">
        <v>74</v>
      </c>
    </row>
    <row r="8" spans="2:6" x14ac:dyDescent="0.2">
      <c r="E8" s="42" t="s">
        <v>75</v>
      </c>
      <c r="F8" s="42" t="s">
        <v>76</v>
      </c>
    </row>
    <row r="9" spans="2:6" x14ac:dyDescent="0.2">
      <c r="D9" s="43" t="s">
        <v>11</v>
      </c>
      <c r="E9" s="8">
        <f>E5/2</f>
        <v>2088.0499999999997</v>
      </c>
      <c r="F9" s="8">
        <f>E5/2</f>
        <v>2088.0499999999997</v>
      </c>
    </row>
    <row r="10" spans="2:6" x14ac:dyDescent="0.2">
      <c r="D10" s="43" t="s">
        <v>77</v>
      </c>
      <c r="E10" s="8">
        <v>1262.0999999999999</v>
      </c>
      <c r="F10" s="8">
        <v>1262.0999999999999</v>
      </c>
    </row>
    <row r="11" spans="2:6" x14ac:dyDescent="0.2">
      <c r="D11" s="43" t="s">
        <v>78</v>
      </c>
      <c r="E11" s="70">
        <v>1</v>
      </c>
      <c r="F11" s="70">
        <v>1</v>
      </c>
    </row>
    <row r="12" spans="2:6" x14ac:dyDescent="0.2">
      <c r="D12" s="43" t="s">
        <v>79</v>
      </c>
      <c r="E12" s="8">
        <v>2715.7</v>
      </c>
      <c r="F12" s="8">
        <v>2699.8</v>
      </c>
    </row>
    <row r="13" spans="2:6" x14ac:dyDescent="0.2">
      <c r="D13" s="43" t="s">
        <v>80</v>
      </c>
      <c r="E13" s="39">
        <f>(E12-E10)/E11</f>
        <v>1453.6</v>
      </c>
      <c r="F13" s="39">
        <f>(F12-F10)/F11</f>
        <v>1437.7000000000003</v>
      </c>
    </row>
    <row r="14" spans="2:6" x14ac:dyDescent="0.2">
      <c r="D14" s="43" t="s">
        <v>81</v>
      </c>
      <c r="E14" s="64">
        <f>E13/10^6*1000</f>
        <v>1.4536</v>
      </c>
      <c r="F14" s="64">
        <f>F13/10^6*1000</f>
        <v>1.4377000000000002</v>
      </c>
    </row>
    <row r="15" spans="2:6" x14ac:dyDescent="0.2">
      <c r="D15" s="43" t="s">
        <v>117</v>
      </c>
      <c r="E15" s="80">
        <f>0.5*(2.28+2.21)</f>
        <v>2.2450000000000001</v>
      </c>
      <c r="F15" s="80">
        <f>0.5*(2.28+2.21)</f>
        <v>2.2450000000000001</v>
      </c>
    </row>
    <row r="16" spans="2:6" x14ac:dyDescent="0.2">
      <c r="D16" s="43" t="s">
        <v>118</v>
      </c>
      <c r="E16" s="64">
        <f>(E15-E14)/E15*100</f>
        <v>35.251670378619153</v>
      </c>
      <c r="F16" s="64">
        <f>(F15-F14)/F15*100</f>
        <v>35.959910913140305</v>
      </c>
    </row>
    <row r="18" spans="2:6" ht="15.75" thickBot="1" x14ac:dyDescent="0.25"/>
    <row r="19" spans="2:6" ht="19.5" thickBot="1" x14ac:dyDescent="0.3">
      <c r="B19" s="6" t="s">
        <v>15</v>
      </c>
    </row>
    <row r="21" spans="2:6" x14ac:dyDescent="0.2">
      <c r="B21" s="4" t="s">
        <v>6</v>
      </c>
      <c r="C21" s="7">
        <v>1096.8</v>
      </c>
      <c r="D21" s="5"/>
      <c r="E21" s="5"/>
    </row>
    <row r="22" spans="2:6" x14ac:dyDescent="0.2">
      <c r="B22" s="4" t="s">
        <v>7</v>
      </c>
      <c r="C22" s="7">
        <v>5273</v>
      </c>
      <c r="D22" s="4" t="s">
        <v>11</v>
      </c>
      <c r="E22" s="7">
        <f>C22-C21</f>
        <v>4176.2</v>
      </c>
    </row>
    <row r="24" spans="2:6" x14ac:dyDescent="0.2">
      <c r="D24" t="s">
        <v>74</v>
      </c>
    </row>
    <row r="25" spans="2:6" x14ac:dyDescent="0.2">
      <c r="E25" s="42" t="s">
        <v>75</v>
      </c>
      <c r="F25" s="42" t="s">
        <v>76</v>
      </c>
    </row>
    <row r="26" spans="2:6" x14ac:dyDescent="0.2">
      <c r="D26" s="43" t="s">
        <v>11</v>
      </c>
      <c r="E26" s="8">
        <f>E22/2</f>
        <v>2088.1</v>
      </c>
      <c r="F26" s="8">
        <f>E22/2</f>
        <v>2088.1</v>
      </c>
    </row>
    <row r="27" spans="2:6" x14ac:dyDescent="0.2">
      <c r="D27" s="43" t="s">
        <v>77</v>
      </c>
      <c r="E27" s="8">
        <v>1262.0999999999999</v>
      </c>
      <c r="F27" s="8">
        <v>1262.0999999999999</v>
      </c>
    </row>
    <row r="28" spans="2:6" x14ac:dyDescent="0.2">
      <c r="D28" s="43" t="s">
        <v>78</v>
      </c>
      <c r="E28" s="70">
        <v>1</v>
      </c>
      <c r="F28" s="70">
        <v>1</v>
      </c>
    </row>
    <row r="29" spans="2:6" x14ac:dyDescent="0.2">
      <c r="D29" s="43" t="s">
        <v>79</v>
      </c>
      <c r="E29" s="8">
        <v>2730.4</v>
      </c>
      <c r="F29" s="8">
        <v>2709.1</v>
      </c>
    </row>
    <row r="30" spans="2:6" x14ac:dyDescent="0.2">
      <c r="D30" s="43" t="s">
        <v>80</v>
      </c>
      <c r="E30" s="39">
        <f>(E29-E27)/E28</f>
        <v>1468.3000000000002</v>
      </c>
      <c r="F30" s="39">
        <f>(F29-F27)/F28</f>
        <v>1447</v>
      </c>
    </row>
    <row r="31" spans="2:6" x14ac:dyDescent="0.2">
      <c r="D31" s="43" t="s">
        <v>81</v>
      </c>
      <c r="E31" s="64">
        <f>E30/10^6*1000</f>
        <v>1.4683000000000002</v>
      </c>
      <c r="F31" s="64">
        <f>F30/10^6*1000</f>
        <v>1.4469999999999998</v>
      </c>
    </row>
    <row r="32" spans="2:6" x14ac:dyDescent="0.2">
      <c r="D32" s="43" t="s">
        <v>117</v>
      </c>
      <c r="E32" s="80">
        <f>0.5*(2.28+2.21)</f>
        <v>2.2450000000000001</v>
      </c>
      <c r="F32" s="80">
        <f>0.5*(2.28+2.21)</f>
        <v>2.2450000000000001</v>
      </c>
    </row>
    <row r="33" spans="2:6" x14ac:dyDescent="0.2">
      <c r="D33" s="43" t="s">
        <v>118</v>
      </c>
      <c r="E33" s="64">
        <f>(E32-E31)/E32*100</f>
        <v>34.59688195991091</v>
      </c>
      <c r="F33" s="64">
        <f>(F32-F31)/F32*100</f>
        <v>35.545657015590209</v>
      </c>
    </row>
    <row r="35" spans="2:6" ht="15.75" thickBot="1" x14ac:dyDescent="0.25"/>
    <row r="36" spans="2:6" ht="19.5" thickBot="1" x14ac:dyDescent="0.3">
      <c r="B36" s="6" t="s">
        <v>17</v>
      </c>
    </row>
    <row r="38" spans="2:6" x14ac:dyDescent="0.2">
      <c r="B38" s="43" t="s">
        <v>81</v>
      </c>
      <c r="C38" s="63">
        <f>AVERAGE(E14,F14,E31,F31)</f>
        <v>1.4516500000000001</v>
      </c>
    </row>
    <row r="39" spans="2:6" x14ac:dyDescent="0.2">
      <c r="B39" s="43" t="s">
        <v>118</v>
      </c>
      <c r="C39" s="55">
        <f>AVERAGE(E16,F16,E33,F33)</f>
        <v>35.338530066815139</v>
      </c>
    </row>
  </sheetData>
  <pageMargins left="0.7" right="0.7" top="0.75" bottom="0.75" header="0.3" footer="0.3"/>
  <pageSetup paperSize="9" orientation="portrait" horizontalDpi="4294967292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Hoja12"/>
  <dimension ref="B1:F39"/>
  <sheetViews>
    <sheetView topLeftCell="A21" workbookViewId="0">
      <selection activeCell="E32" sqref="E32:F32"/>
    </sheetView>
  </sheetViews>
  <sheetFormatPr defaultColWidth="10.76171875" defaultRowHeight="15" x14ac:dyDescent="0.2"/>
  <cols>
    <col min="2" max="2" width="43.71875" bestFit="1" customWidth="1"/>
    <col min="3" max="3" width="35.51171875" bestFit="1" customWidth="1"/>
    <col min="4" max="4" width="43.71875" bestFit="1" customWidth="1"/>
    <col min="5" max="6" width="13.71875" bestFit="1" customWidth="1"/>
  </cols>
  <sheetData>
    <row r="1" spans="2:6" ht="15.75" thickBot="1" x14ac:dyDescent="0.25"/>
    <row r="2" spans="2:6" ht="19.5" thickBot="1" x14ac:dyDescent="0.3">
      <c r="B2" s="6" t="s">
        <v>5</v>
      </c>
    </row>
    <row r="4" spans="2:6" x14ac:dyDescent="0.2">
      <c r="B4" s="4" t="s">
        <v>6</v>
      </c>
      <c r="C4" s="7">
        <v>759.5</v>
      </c>
      <c r="D4" s="5"/>
      <c r="E4" s="5"/>
    </row>
    <row r="5" spans="2:6" x14ac:dyDescent="0.2">
      <c r="B5" s="4" t="s">
        <v>7</v>
      </c>
      <c r="C5" s="7">
        <v>3680.4</v>
      </c>
      <c r="D5" s="4" t="s">
        <v>11</v>
      </c>
      <c r="E5" s="7">
        <f>C5-C4</f>
        <v>2920.9</v>
      </c>
    </row>
    <row r="7" spans="2:6" x14ac:dyDescent="0.2">
      <c r="D7" t="s">
        <v>74</v>
      </c>
    </row>
    <row r="8" spans="2:6" x14ac:dyDescent="0.2">
      <c r="E8" s="42" t="s">
        <v>75</v>
      </c>
      <c r="F8" s="42" t="s">
        <v>76</v>
      </c>
    </row>
    <row r="9" spans="2:6" x14ac:dyDescent="0.2">
      <c r="D9" s="43" t="s">
        <v>11</v>
      </c>
      <c r="E9" s="8">
        <f>E5/2</f>
        <v>1460.45</v>
      </c>
      <c r="F9" s="8">
        <f>E5/2</f>
        <v>1460.45</v>
      </c>
    </row>
    <row r="10" spans="2:6" x14ac:dyDescent="0.2">
      <c r="D10" s="43" t="s">
        <v>77</v>
      </c>
      <c r="E10" s="8">
        <v>1262.0999999999999</v>
      </c>
      <c r="F10" s="8">
        <v>1262.0999999999999</v>
      </c>
    </row>
    <row r="11" spans="2:6" x14ac:dyDescent="0.2">
      <c r="D11" s="43" t="s">
        <v>78</v>
      </c>
      <c r="E11" s="70">
        <v>1</v>
      </c>
      <c r="F11" s="70">
        <v>1</v>
      </c>
    </row>
    <row r="12" spans="2:6" x14ac:dyDescent="0.2">
      <c r="D12" s="43" t="s">
        <v>79</v>
      </c>
      <c r="E12" s="8">
        <v>2688.1</v>
      </c>
      <c r="F12" s="8">
        <v>2653.2</v>
      </c>
    </row>
    <row r="13" spans="2:6" x14ac:dyDescent="0.2">
      <c r="D13" s="43" t="s">
        <v>80</v>
      </c>
      <c r="E13" s="39">
        <f>(E12-E10)/E11</f>
        <v>1426</v>
      </c>
      <c r="F13" s="39">
        <f>(F12-F10)/F11</f>
        <v>1391.1</v>
      </c>
    </row>
    <row r="14" spans="2:6" x14ac:dyDescent="0.2">
      <c r="D14" s="43" t="s">
        <v>81</v>
      </c>
      <c r="E14" s="64">
        <f>E13/10^6*1000</f>
        <v>1.4259999999999999</v>
      </c>
      <c r="F14" s="64">
        <f>F13/10^6*1000</f>
        <v>1.3911</v>
      </c>
    </row>
    <row r="15" spans="2:6" x14ac:dyDescent="0.2">
      <c r="D15" s="43" t="s">
        <v>117</v>
      </c>
      <c r="E15" s="80">
        <f>0.5*(2.28+2.21)</f>
        <v>2.2450000000000001</v>
      </c>
      <c r="F15" s="80">
        <f>0.5*(2.28+2.21)</f>
        <v>2.2450000000000001</v>
      </c>
    </row>
    <row r="16" spans="2:6" x14ac:dyDescent="0.2">
      <c r="D16" s="43" t="s">
        <v>118</v>
      </c>
      <c r="E16" s="64">
        <f>(E15-E14)/E15*100</f>
        <v>36.481069042316264</v>
      </c>
      <c r="F16" s="64">
        <f>(F15-F14)/F15*100</f>
        <v>38.035634743875278</v>
      </c>
    </row>
    <row r="18" spans="2:6" ht="15.75" thickBot="1" x14ac:dyDescent="0.25"/>
    <row r="19" spans="2:6" ht="19.5" thickBot="1" x14ac:dyDescent="0.3">
      <c r="B19" s="6" t="s">
        <v>15</v>
      </c>
    </row>
    <row r="21" spans="2:6" x14ac:dyDescent="0.2">
      <c r="B21" s="4" t="s">
        <v>6</v>
      </c>
      <c r="C21" s="7">
        <v>759.5</v>
      </c>
      <c r="D21" s="5"/>
      <c r="E21" s="5"/>
    </row>
    <row r="22" spans="2:6" x14ac:dyDescent="0.2">
      <c r="B22" s="4" t="s">
        <v>7</v>
      </c>
      <c r="C22" s="7">
        <v>3680.5</v>
      </c>
      <c r="D22" s="4" t="s">
        <v>11</v>
      </c>
      <c r="E22" s="7">
        <f>C22-C21</f>
        <v>2921</v>
      </c>
    </row>
    <row r="24" spans="2:6" x14ac:dyDescent="0.2">
      <c r="D24" t="s">
        <v>74</v>
      </c>
    </row>
    <row r="25" spans="2:6" x14ac:dyDescent="0.2">
      <c r="E25" s="42" t="s">
        <v>75</v>
      </c>
      <c r="F25" s="42" t="s">
        <v>76</v>
      </c>
    </row>
    <row r="26" spans="2:6" x14ac:dyDescent="0.2">
      <c r="D26" s="43" t="s">
        <v>11</v>
      </c>
      <c r="E26" s="8">
        <f>E22/2</f>
        <v>1460.5</v>
      </c>
      <c r="F26" s="8">
        <f>E22/2</f>
        <v>1460.5</v>
      </c>
    </row>
    <row r="27" spans="2:6" x14ac:dyDescent="0.2">
      <c r="D27" s="43" t="s">
        <v>77</v>
      </c>
      <c r="E27" s="8">
        <v>1262.0999999999999</v>
      </c>
      <c r="F27" s="8">
        <v>1262.0999999999999</v>
      </c>
    </row>
    <row r="28" spans="2:6" x14ac:dyDescent="0.2">
      <c r="D28" s="43" t="s">
        <v>78</v>
      </c>
      <c r="E28" s="70">
        <v>1</v>
      </c>
      <c r="F28" s="70">
        <v>1</v>
      </c>
    </row>
    <row r="29" spans="2:6" x14ac:dyDescent="0.2">
      <c r="D29" s="43" t="s">
        <v>79</v>
      </c>
      <c r="E29" s="8">
        <v>2667.2</v>
      </c>
      <c r="F29" s="8">
        <v>2646.2</v>
      </c>
    </row>
    <row r="30" spans="2:6" x14ac:dyDescent="0.2">
      <c r="D30" s="43" t="s">
        <v>80</v>
      </c>
      <c r="E30" s="39">
        <f>(E29-E27)/E28</f>
        <v>1405.1</v>
      </c>
      <c r="F30" s="39">
        <f>(F29-F27)/F28</f>
        <v>1384.1</v>
      </c>
    </row>
    <row r="31" spans="2:6" x14ac:dyDescent="0.2">
      <c r="D31" s="43" t="s">
        <v>81</v>
      </c>
      <c r="E31" s="64">
        <f>E30/10^6*1000</f>
        <v>1.4050999999999998</v>
      </c>
      <c r="F31" s="64">
        <f>F30/10^6*1000</f>
        <v>1.3840999999999999</v>
      </c>
    </row>
    <row r="32" spans="2:6" x14ac:dyDescent="0.2">
      <c r="D32" s="43" t="s">
        <v>117</v>
      </c>
      <c r="E32" s="80">
        <f>0.5*(2.28+2.21)</f>
        <v>2.2450000000000001</v>
      </c>
      <c r="F32" s="80">
        <f>0.5*(2.28+2.21)</f>
        <v>2.2450000000000001</v>
      </c>
    </row>
    <row r="33" spans="2:6" x14ac:dyDescent="0.2">
      <c r="D33" s="43" t="s">
        <v>118</v>
      </c>
      <c r="E33" s="64">
        <f>(E32-E31)/E32*100</f>
        <v>37.412026726057917</v>
      </c>
      <c r="F33" s="64">
        <f>(F32-F31)/F32*100</f>
        <v>38.347438752783972</v>
      </c>
    </row>
    <row r="35" spans="2:6" ht="15.75" thickBot="1" x14ac:dyDescent="0.25"/>
    <row r="36" spans="2:6" ht="19.5" thickBot="1" x14ac:dyDescent="0.3">
      <c r="B36" s="6" t="s">
        <v>17</v>
      </c>
    </row>
    <row r="38" spans="2:6" x14ac:dyDescent="0.2">
      <c r="B38" s="43" t="s">
        <v>81</v>
      </c>
      <c r="C38" s="63">
        <f>AVERAGE(E14,F14,E31,F31)</f>
        <v>1.401575</v>
      </c>
    </row>
    <row r="39" spans="2:6" x14ac:dyDescent="0.2">
      <c r="B39" s="43" t="s">
        <v>118</v>
      </c>
      <c r="C39" s="55">
        <f>AVERAGE(E16,F16,E33,F33)</f>
        <v>37.569042316258361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Hoja13"/>
  <dimension ref="B1:F50"/>
  <sheetViews>
    <sheetView topLeftCell="A37" workbookViewId="0">
      <selection activeCell="E12" sqref="E12"/>
    </sheetView>
  </sheetViews>
  <sheetFormatPr defaultColWidth="10.76171875" defaultRowHeight="15" x14ac:dyDescent="0.2"/>
  <cols>
    <col min="2" max="2" width="43.71875" bestFit="1" customWidth="1"/>
    <col min="3" max="3" width="35.51171875" bestFit="1" customWidth="1"/>
    <col min="4" max="4" width="43.71875" bestFit="1" customWidth="1"/>
    <col min="5" max="6" width="13.71875" bestFit="1" customWidth="1"/>
  </cols>
  <sheetData>
    <row r="1" spans="2:6" ht="15.75" thickBot="1" x14ac:dyDescent="0.25"/>
    <row r="2" spans="2:6" ht="19.5" thickBot="1" x14ac:dyDescent="0.3">
      <c r="B2" s="6" t="s">
        <v>5</v>
      </c>
    </row>
    <row r="4" spans="2:6" x14ac:dyDescent="0.2">
      <c r="B4" s="4" t="s">
        <v>6</v>
      </c>
      <c r="C4" s="7">
        <v>1095.5</v>
      </c>
      <c r="D4" s="5"/>
      <c r="E4" s="5"/>
    </row>
    <row r="5" spans="2:6" x14ac:dyDescent="0.2">
      <c r="B5" s="4" t="s">
        <v>7</v>
      </c>
      <c r="C5" s="7">
        <v>3625.1</v>
      </c>
      <c r="D5" s="4" t="s">
        <v>11</v>
      </c>
      <c r="E5" s="7">
        <f>C5-C4</f>
        <v>2529.6</v>
      </c>
    </row>
    <row r="7" spans="2:6" x14ac:dyDescent="0.2">
      <c r="D7" t="s">
        <v>74</v>
      </c>
    </row>
    <row r="8" spans="2:6" x14ac:dyDescent="0.2">
      <c r="E8" s="42" t="s">
        <v>75</v>
      </c>
      <c r="F8" s="42" t="s">
        <v>76</v>
      </c>
    </row>
    <row r="9" spans="2:6" x14ac:dyDescent="0.2">
      <c r="D9" s="43" t="s">
        <v>11</v>
      </c>
      <c r="E9" s="8">
        <f>E5/2</f>
        <v>1264.8</v>
      </c>
      <c r="F9" s="8">
        <f>E5/2</f>
        <v>1264.8</v>
      </c>
    </row>
    <row r="10" spans="2:6" x14ac:dyDescent="0.2">
      <c r="D10" s="43" t="s">
        <v>77</v>
      </c>
      <c r="E10" s="2">
        <v>947.3</v>
      </c>
      <c r="F10" s="2">
        <v>947.3</v>
      </c>
    </row>
    <row r="11" spans="2:6" x14ac:dyDescent="0.2">
      <c r="D11" s="43" t="s">
        <v>78</v>
      </c>
      <c r="E11" s="2">
        <v>1</v>
      </c>
      <c r="F11" s="2">
        <v>1</v>
      </c>
    </row>
    <row r="12" spans="2:6" x14ac:dyDescent="0.2">
      <c r="D12" s="43" t="s">
        <v>79</v>
      </c>
      <c r="E12" s="8">
        <v>2195</v>
      </c>
      <c r="F12" s="8">
        <v>2208.1</v>
      </c>
    </row>
    <row r="13" spans="2:6" x14ac:dyDescent="0.2">
      <c r="D13" s="43" t="s">
        <v>80</v>
      </c>
      <c r="E13" s="39">
        <f>(E12-E10)/E11</f>
        <v>1247.7</v>
      </c>
      <c r="F13" s="39">
        <f>(F12-F10)/F11</f>
        <v>1260.8</v>
      </c>
    </row>
    <row r="14" spans="2:6" x14ac:dyDescent="0.2">
      <c r="D14" s="43" t="s">
        <v>81</v>
      </c>
      <c r="E14" s="64">
        <f>E13/10^6*1000</f>
        <v>1.2477</v>
      </c>
      <c r="F14" s="64">
        <f>F13/10^6*1000</f>
        <v>1.2607999999999999</v>
      </c>
    </row>
    <row r="15" spans="2:6" x14ac:dyDescent="0.2">
      <c r="D15" s="43" t="s">
        <v>117</v>
      </c>
      <c r="E15" s="39">
        <v>2.2799999999999998</v>
      </c>
      <c r="F15" s="39">
        <v>2.2799999999999998</v>
      </c>
    </row>
    <row r="16" spans="2:6" x14ac:dyDescent="0.2">
      <c r="D16" s="43" t="s">
        <v>118</v>
      </c>
      <c r="E16" s="64">
        <f>(E15-E14)/E15*100</f>
        <v>45.276315789473678</v>
      </c>
      <c r="F16" s="64">
        <f>(F15-F14)/F15*100</f>
        <v>44.701754385964911</v>
      </c>
    </row>
    <row r="18" spans="2:6" ht="15.75" thickBot="1" x14ac:dyDescent="0.25"/>
    <row r="19" spans="2:6" ht="19.5" thickBot="1" x14ac:dyDescent="0.3">
      <c r="B19" s="6" t="s">
        <v>15</v>
      </c>
    </row>
    <row r="21" spans="2:6" x14ac:dyDescent="0.2">
      <c r="B21" s="4" t="s">
        <v>6</v>
      </c>
      <c r="C21" s="7">
        <v>1090.9000000000001</v>
      </c>
      <c r="D21" s="5"/>
      <c r="E21" s="5"/>
    </row>
    <row r="22" spans="2:6" x14ac:dyDescent="0.2">
      <c r="B22" s="4" t="s">
        <v>7</v>
      </c>
      <c r="C22" s="7">
        <v>3632.7</v>
      </c>
      <c r="D22" s="4" t="s">
        <v>11</v>
      </c>
      <c r="E22" s="7">
        <f>C22-C21</f>
        <v>2541.7999999999997</v>
      </c>
    </row>
    <row r="24" spans="2:6" x14ac:dyDescent="0.2">
      <c r="D24" t="s">
        <v>74</v>
      </c>
    </row>
    <row r="25" spans="2:6" x14ac:dyDescent="0.2">
      <c r="E25" s="42" t="s">
        <v>75</v>
      </c>
      <c r="F25" s="42" t="s">
        <v>76</v>
      </c>
    </row>
    <row r="26" spans="2:6" x14ac:dyDescent="0.2">
      <c r="D26" s="43" t="s">
        <v>11</v>
      </c>
      <c r="E26" s="8">
        <f>E22/2</f>
        <v>1270.8999999999999</v>
      </c>
      <c r="F26" s="8">
        <f>E22/2</f>
        <v>1270.8999999999999</v>
      </c>
    </row>
    <row r="27" spans="2:6" x14ac:dyDescent="0.2">
      <c r="D27" s="43" t="s">
        <v>77</v>
      </c>
      <c r="E27" s="2">
        <v>947.3</v>
      </c>
      <c r="F27" s="2">
        <v>947.3</v>
      </c>
    </row>
    <row r="28" spans="2:6" x14ac:dyDescent="0.2">
      <c r="D28" s="43" t="s">
        <v>78</v>
      </c>
      <c r="E28" s="2">
        <v>1</v>
      </c>
      <c r="F28" s="2">
        <v>1</v>
      </c>
    </row>
    <row r="29" spans="2:6" x14ac:dyDescent="0.2">
      <c r="D29" s="43" t="s">
        <v>79</v>
      </c>
      <c r="E29" s="8">
        <v>2208.4</v>
      </c>
      <c r="F29" s="8">
        <v>2214</v>
      </c>
    </row>
    <row r="30" spans="2:6" x14ac:dyDescent="0.2">
      <c r="D30" s="43" t="s">
        <v>80</v>
      </c>
      <c r="E30" s="39">
        <f>(E29-E27)/E28</f>
        <v>1261.1000000000001</v>
      </c>
      <c r="F30" s="39">
        <f>(F29-F27)/F28</f>
        <v>1266.7</v>
      </c>
    </row>
    <row r="31" spans="2:6" x14ac:dyDescent="0.2">
      <c r="D31" s="43" t="s">
        <v>81</v>
      </c>
      <c r="E31" s="64">
        <f>E30/10^6*1000</f>
        <v>1.2611000000000003</v>
      </c>
      <c r="F31" s="64">
        <f>F30/10^6*1000</f>
        <v>1.2666999999999999</v>
      </c>
    </row>
    <row r="32" spans="2:6" x14ac:dyDescent="0.2">
      <c r="D32" s="43" t="s">
        <v>117</v>
      </c>
      <c r="E32" s="39">
        <v>2.2799999999999998</v>
      </c>
      <c r="F32" s="39">
        <v>2.2799999999999998</v>
      </c>
    </row>
    <row r="33" spans="2:6" x14ac:dyDescent="0.2">
      <c r="D33" s="43" t="s">
        <v>118</v>
      </c>
      <c r="E33" s="64">
        <f>(E32-E31)/E32*100</f>
        <v>44.688596491228047</v>
      </c>
      <c r="F33" s="64">
        <f>(F32-F31)/F32*100</f>
        <v>44.442982456140349</v>
      </c>
    </row>
    <row r="35" spans="2:6" ht="15.75" thickBot="1" x14ac:dyDescent="0.25"/>
    <row r="36" spans="2:6" ht="19.5" thickBot="1" x14ac:dyDescent="0.3">
      <c r="B36" s="6" t="s">
        <v>82</v>
      </c>
      <c r="C36" s="6" t="s">
        <v>83</v>
      </c>
    </row>
    <row r="38" spans="2:6" x14ac:dyDescent="0.2">
      <c r="B38" s="43" t="s">
        <v>77</v>
      </c>
      <c r="C38" s="2">
        <v>947.3</v>
      </c>
      <c r="D38" s="2">
        <v>947.3</v>
      </c>
      <c r="E38" s="2">
        <v>947.3</v>
      </c>
    </row>
    <row r="39" spans="2:6" x14ac:dyDescent="0.2">
      <c r="B39" s="43" t="s">
        <v>78</v>
      </c>
      <c r="C39" s="2">
        <v>1</v>
      </c>
      <c r="D39" s="2">
        <v>1</v>
      </c>
      <c r="E39" s="2">
        <v>1</v>
      </c>
    </row>
    <row r="40" spans="2:6" x14ac:dyDescent="0.2">
      <c r="B40" s="43" t="s">
        <v>79</v>
      </c>
      <c r="C40" s="8">
        <v>2181.1999999999998</v>
      </c>
      <c r="D40" s="8">
        <v>2203.1999999999998</v>
      </c>
      <c r="E40" s="8">
        <v>2212.6999999999998</v>
      </c>
    </row>
    <row r="41" spans="2:6" x14ac:dyDescent="0.2">
      <c r="B41" s="43" t="s">
        <v>80</v>
      </c>
      <c r="C41" s="39">
        <f>(C40-C38)/C39</f>
        <v>1233.8999999999999</v>
      </c>
      <c r="D41" s="39">
        <f>(D40-D38)/D39</f>
        <v>1255.8999999999999</v>
      </c>
      <c r="E41" s="39">
        <f>(E40-E38)/E39</f>
        <v>1265.3999999999999</v>
      </c>
    </row>
    <row r="42" spans="2:6" x14ac:dyDescent="0.2">
      <c r="B42" s="43" t="s">
        <v>81</v>
      </c>
      <c r="C42" s="64">
        <f>C41/10^6*1000</f>
        <v>1.2338999999999998</v>
      </c>
      <c r="D42" s="64">
        <f>D41/10^6*1000</f>
        <v>1.2558999999999998</v>
      </c>
      <c r="E42" s="64">
        <f>E41/10^6*1000</f>
        <v>1.2653999999999999</v>
      </c>
    </row>
    <row r="43" spans="2:6" x14ac:dyDescent="0.2">
      <c r="B43" s="43" t="s">
        <v>117</v>
      </c>
      <c r="C43" s="39">
        <v>2.2799999999999998</v>
      </c>
      <c r="D43" s="39">
        <v>2.2799999999999998</v>
      </c>
      <c r="E43" s="39">
        <v>2.2799999999999998</v>
      </c>
    </row>
    <row r="44" spans="2:6" x14ac:dyDescent="0.2">
      <c r="B44" s="43" t="s">
        <v>118</v>
      </c>
      <c r="C44" s="64">
        <f>(C43-C42)/C43*100</f>
        <v>45.881578947368432</v>
      </c>
      <c r="D44" s="64">
        <f>(D43-D42)/D43*100</f>
        <v>44.916666666666671</v>
      </c>
      <c r="E44" s="64">
        <f>(E43-E42)/E43*100</f>
        <v>44.5</v>
      </c>
    </row>
    <row r="46" spans="2:6" ht="15.75" thickBot="1" x14ac:dyDescent="0.25"/>
    <row r="47" spans="2:6" ht="19.5" thickBot="1" x14ac:dyDescent="0.3">
      <c r="B47" s="6" t="s">
        <v>17</v>
      </c>
    </row>
    <row r="49" spans="2:3" x14ac:dyDescent="0.2">
      <c r="B49" s="43" t="s">
        <v>81</v>
      </c>
      <c r="C49" s="63">
        <f>AVERAGE(E14,F14,E31,F31,C42,D42,E42)</f>
        <v>1.2559285714285713</v>
      </c>
    </row>
    <row r="50" spans="2:3" x14ac:dyDescent="0.2">
      <c r="B50" s="43" t="s">
        <v>118</v>
      </c>
      <c r="C50" s="55">
        <f>AVERAGE(E16,F16,E33,F33,C44,D44,E44)</f>
        <v>44.915413533834581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Hoja14"/>
  <dimension ref="B1:F39"/>
  <sheetViews>
    <sheetView topLeftCell="A19" workbookViewId="0">
      <selection activeCell="F33" sqref="F33"/>
    </sheetView>
  </sheetViews>
  <sheetFormatPr defaultColWidth="10.76171875" defaultRowHeight="15" x14ac:dyDescent="0.2"/>
  <cols>
    <col min="2" max="2" width="43.71875" bestFit="1" customWidth="1"/>
    <col min="3" max="3" width="35.51171875" bestFit="1" customWidth="1"/>
    <col min="4" max="4" width="43.71875" bestFit="1" customWidth="1"/>
    <col min="5" max="6" width="13.71875" bestFit="1" customWidth="1"/>
  </cols>
  <sheetData>
    <row r="1" spans="2:6" ht="15.75" thickBot="1" x14ac:dyDescent="0.25"/>
    <row r="2" spans="2:6" ht="19.5" thickBot="1" x14ac:dyDescent="0.3">
      <c r="B2" s="6" t="s">
        <v>5</v>
      </c>
    </row>
    <row r="4" spans="2:6" x14ac:dyDescent="0.2">
      <c r="B4" s="4" t="s">
        <v>6</v>
      </c>
      <c r="C4" s="7">
        <v>3491.3</v>
      </c>
      <c r="D4" s="5"/>
      <c r="E4" s="5"/>
    </row>
    <row r="5" spans="2:6" x14ac:dyDescent="0.2">
      <c r="B5" s="4" t="s">
        <v>7</v>
      </c>
      <c r="C5" s="7">
        <v>6244.2</v>
      </c>
      <c r="D5" s="4" t="s">
        <v>11</v>
      </c>
      <c r="E5" s="7">
        <f>C5-C4</f>
        <v>2752.8999999999996</v>
      </c>
    </row>
    <row r="7" spans="2:6" x14ac:dyDescent="0.2">
      <c r="D7" t="s">
        <v>74</v>
      </c>
    </row>
    <row r="8" spans="2:6" x14ac:dyDescent="0.2">
      <c r="E8" s="42" t="s">
        <v>75</v>
      </c>
      <c r="F8" s="42" t="s">
        <v>76</v>
      </c>
    </row>
    <row r="9" spans="2:6" x14ac:dyDescent="0.2">
      <c r="D9" s="43" t="s">
        <v>11</v>
      </c>
      <c r="E9" s="8">
        <f>E5/2</f>
        <v>1376.4499999999998</v>
      </c>
      <c r="F9" s="8">
        <f>E5/2</f>
        <v>1376.4499999999998</v>
      </c>
    </row>
    <row r="10" spans="2:6" x14ac:dyDescent="0.2">
      <c r="D10" s="43" t="s">
        <v>77</v>
      </c>
      <c r="E10" s="8">
        <v>1262.0999999999999</v>
      </c>
      <c r="F10" s="8">
        <v>1262.0999999999999</v>
      </c>
    </row>
    <row r="11" spans="2:6" x14ac:dyDescent="0.2">
      <c r="D11" s="43" t="s">
        <v>78</v>
      </c>
      <c r="E11" s="70">
        <v>1</v>
      </c>
      <c r="F11" s="70">
        <v>1</v>
      </c>
    </row>
    <row r="12" spans="2:6" x14ac:dyDescent="0.2">
      <c r="D12" s="43" t="s">
        <v>79</v>
      </c>
      <c r="E12" s="8">
        <v>2476.8000000000002</v>
      </c>
      <c r="F12" s="8">
        <v>2489.1</v>
      </c>
    </row>
    <row r="13" spans="2:6" x14ac:dyDescent="0.2">
      <c r="D13" s="43" t="s">
        <v>80</v>
      </c>
      <c r="E13" s="39">
        <f>(E12-E10)/E11</f>
        <v>1214.7000000000003</v>
      </c>
      <c r="F13" s="39">
        <f>(F12-F10)/F11</f>
        <v>1227</v>
      </c>
    </row>
    <row r="14" spans="2:6" x14ac:dyDescent="0.2">
      <c r="D14" s="43" t="s">
        <v>81</v>
      </c>
      <c r="E14" s="64">
        <f>E13/10^6*1000</f>
        <v>1.2147000000000001</v>
      </c>
      <c r="F14" s="64">
        <f>F13/10^6*1000</f>
        <v>1.2270000000000001</v>
      </c>
    </row>
    <row r="15" spans="2:6" x14ac:dyDescent="0.2">
      <c r="D15" s="43" t="s">
        <v>117</v>
      </c>
      <c r="E15" s="80">
        <v>2.21</v>
      </c>
      <c r="F15" s="80">
        <v>2.21</v>
      </c>
    </row>
    <row r="16" spans="2:6" x14ac:dyDescent="0.2">
      <c r="D16" s="43" t="s">
        <v>118</v>
      </c>
      <c r="E16" s="64">
        <f>(E15-E14)/E15*100</f>
        <v>45.036199095022617</v>
      </c>
      <c r="F16" s="64">
        <f>(F15-F14)/F15*100</f>
        <v>44.479638009049772</v>
      </c>
    </row>
    <row r="18" spans="2:6" ht="15.75" thickBot="1" x14ac:dyDescent="0.25"/>
    <row r="19" spans="2:6" ht="19.5" thickBot="1" x14ac:dyDescent="0.3">
      <c r="B19" s="6" t="s">
        <v>15</v>
      </c>
    </row>
    <row r="21" spans="2:6" x14ac:dyDescent="0.2">
      <c r="B21" s="4" t="s">
        <v>6</v>
      </c>
      <c r="C21" s="7">
        <v>3491.3</v>
      </c>
      <c r="D21" s="5"/>
      <c r="E21" s="5"/>
    </row>
    <row r="22" spans="2:6" x14ac:dyDescent="0.2">
      <c r="B22" s="4" t="s">
        <v>7</v>
      </c>
      <c r="C22" s="7">
        <v>6244.3</v>
      </c>
      <c r="D22" s="4" t="s">
        <v>11</v>
      </c>
      <c r="E22" s="7">
        <f>C22-C21</f>
        <v>2753</v>
      </c>
    </row>
    <row r="24" spans="2:6" x14ac:dyDescent="0.2">
      <c r="D24" t="s">
        <v>74</v>
      </c>
    </row>
    <row r="25" spans="2:6" x14ac:dyDescent="0.2">
      <c r="E25" s="42" t="s">
        <v>75</v>
      </c>
      <c r="F25" s="42" t="s">
        <v>76</v>
      </c>
    </row>
    <row r="26" spans="2:6" x14ac:dyDescent="0.2">
      <c r="D26" s="43" t="s">
        <v>11</v>
      </c>
      <c r="E26" s="8">
        <f>E22/2</f>
        <v>1376.5</v>
      </c>
      <c r="F26" s="8">
        <f>E22/2</f>
        <v>1376.5</v>
      </c>
    </row>
    <row r="27" spans="2:6" x14ac:dyDescent="0.2">
      <c r="D27" s="43" t="s">
        <v>77</v>
      </c>
      <c r="E27" s="8">
        <v>1262.0999999999999</v>
      </c>
      <c r="F27" s="8">
        <v>1262.0999999999999</v>
      </c>
    </row>
    <row r="28" spans="2:6" x14ac:dyDescent="0.2">
      <c r="D28" s="43" t="s">
        <v>78</v>
      </c>
      <c r="E28" s="70">
        <v>1</v>
      </c>
      <c r="F28" s="70">
        <v>1</v>
      </c>
    </row>
    <row r="29" spans="2:6" x14ac:dyDescent="0.2">
      <c r="D29" s="43" t="s">
        <v>79</v>
      </c>
      <c r="E29" s="8">
        <v>2512.6999999999998</v>
      </c>
      <c r="F29" s="8">
        <v>2485.9</v>
      </c>
    </row>
    <row r="30" spans="2:6" x14ac:dyDescent="0.2">
      <c r="D30" s="43" t="s">
        <v>80</v>
      </c>
      <c r="E30" s="39">
        <f>(E29-E27)/E28</f>
        <v>1250.5999999999999</v>
      </c>
      <c r="F30" s="39">
        <f>(F29-F27)/F28</f>
        <v>1223.8000000000002</v>
      </c>
    </row>
    <row r="31" spans="2:6" x14ac:dyDescent="0.2">
      <c r="D31" s="43" t="s">
        <v>81</v>
      </c>
      <c r="E31" s="64">
        <f>E30/10^6*1000</f>
        <v>1.2505999999999999</v>
      </c>
      <c r="F31" s="64">
        <f>F30/10^6*1000</f>
        <v>1.2238000000000002</v>
      </c>
    </row>
    <row r="32" spans="2:6" x14ac:dyDescent="0.2">
      <c r="D32" s="43" t="s">
        <v>117</v>
      </c>
      <c r="E32" s="80">
        <v>2.21</v>
      </c>
      <c r="F32" s="80">
        <v>2.21</v>
      </c>
    </row>
    <row r="33" spans="2:6" x14ac:dyDescent="0.2">
      <c r="D33" s="43" t="s">
        <v>118</v>
      </c>
      <c r="E33" s="64">
        <f>(E32-E31)/E32*100</f>
        <v>43.411764705882355</v>
      </c>
      <c r="F33" s="64">
        <f>(F32-F31)/F32*100</f>
        <v>44.624434389140262</v>
      </c>
    </row>
    <row r="35" spans="2:6" ht="15.75" thickBot="1" x14ac:dyDescent="0.25"/>
    <row r="36" spans="2:6" ht="19.5" thickBot="1" x14ac:dyDescent="0.3">
      <c r="B36" s="6" t="s">
        <v>17</v>
      </c>
    </row>
    <row r="38" spans="2:6" x14ac:dyDescent="0.2">
      <c r="B38" s="43" t="s">
        <v>81</v>
      </c>
      <c r="C38" s="63">
        <f>AVERAGE(E14,F14,E31,F31)</f>
        <v>1.229025</v>
      </c>
    </row>
    <row r="39" spans="2:6" x14ac:dyDescent="0.2">
      <c r="B39" s="43" t="s">
        <v>118</v>
      </c>
      <c r="C39" s="55">
        <f>AVERAGE(E16,F16,E33,F33)</f>
        <v>44.388009049773757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Hoja15"/>
  <dimension ref="B1:L49"/>
  <sheetViews>
    <sheetView workbookViewId="0">
      <selection activeCell="F15" sqref="F15:G15"/>
    </sheetView>
  </sheetViews>
  <sheetFormatPr defaultColWidth="10.76171875" defaultRowHeight="15" x14ac:dyDescent="0.2"/>
  <cols>
    <col min="2" max="2" width="48.0234375" bestFit="1" customWidth="1"/>
    <col min="4" max="4" width="37.125" bestFit="1" customWidth="1"/>
    <col min="6" max="6" width="20.58203125" bestFit="1" customWidth="1"/>
    <col min="7" max="7" width="12.375" bestFit="1" customWidth="1"/>
  </cols>
  <sheetData>
    <row r="1" spans="2:12" ht="15.75" thickBot="1" x14ac:dyDescent="0.25"/>
    <row r="2" spans="2:12" ht="19.5" thickBot="1" x14ac:dyDescent="0.3">
      <c r="B2" s="6" t="s">
        <v>111</v>
      </c>
    </row>
    <row r="4" spans="2:12" x14ac:dyDescent="0.2">
      <c r="B4" s="45" t="s">
        <v>6</v>
      </c>
      <c r="C4" s="46">
        <v>1092.5999999999999</v>
      </c>
    </row>
    <row r="5" spans="2:12" x14ac:dyDescent="0.2">
      <c r="B5" s="45" t="s">
        <v>113</v>
      </c>
      <c r="C5" s="46">
        <v>1988.1</v>
      </c>
      <c r="D5" s="60" t="s">
        <v>116</v>
      </c>
      <c r="E5" s="46">
        <f>C5-C4</f>
        <v>895.5</v>
      </c>
    </row>
    <row r="6" spans="2:12" x14ac:dyDescent="0.2">
      <c r="B6" s="45" t="s">
        <v>112</v>
      </c>
      <c r="C6" s="46">
        <v>1958.6</v>
      </c>
      <c r="D6" s="60" t="s">
        <v>115</v>
      </c>
      <c r="E6" s="46">
        <f>C6-C4</f>
        <v>866</v>
      </c>
      <c r="F6" s="67" t="s">
        <v>114</v>
      </c>
      <c r="G6" s="66">
        <f>(E5-E6)/E6*100</f>
        <v>3.4064665127020786</v>
      </c>
      <c r="H6" s="122" t="s">
        <v>119</v>
      </c>
      <c r="I6" s="122"/>
      <c r="J6" s="122"/>
      <c r="K6" s="122"/>
      <c r="L6" s="122"/>
    </row>
    <row r="7" spans="2:12" x14ac:dyDescent="0.2">
      <c r="D7" s="47"/>
    </row>
    <row r="8" spans="2:12" ht="15.75" thickBot="1" x14ac:dyDescent="0.25">
      <c r="D8" s="47"/>
    </row>
    <row r="9" spans="2:12" ht="19.5" thickBot="1" x14ac:dyDescent="0.3">
      <c r="B9" s="6" t="s">
        <v>120</v>
      </c>
      <c r="D9" s="47"/>
    </row>
    <row r="10" spans="2:12" x14ac:dyDescent="0.2">
      <c r="D10" s="47"/>
    </row>
    <row r="11" spans="2:12" x14ac:dyDescent="0.2">
      <c r="B11" s="45" t="s">
        <v>98</v>
      </c>
      <c r="C11" s="46">
        <v>627.70000000000005</v>
      </c>
      <c r="D11" s="47"/>
    </row>
    <row r="12" spans="2:12" ht="18" x14ac:dyDescent="0.3">
      <c r="B12" s="45" t="s">
        <v>121</v>
      </c>
      <c r="C12" s="46">
        <v>1566.1</v>
      </c>
      <c r="D12" s="60" t="s">
        <v>123</v>
      </c>
      <c r="E12" s="46">
        <f>C12-C11</f>
        <v>938.39999999999986</v>
      </c>
    </row>
    <row r="13" spans="2:12" x14ac:dyDescent="0.2">
      <c r="D13" s="47"/>
    </row>
    <row r="14" spans="2:12" x14ac:dyDescent="0.2">
      <c r="B14" s="45" t="s">
        <v>100</v>
      </c>
      <c r="C14" s="46">
        <v>3491.3</v>
      </c>
      <c r="D14" s="47"/>
    </row>
    <row r="15" spans="2:12" ht="18" x14ac:dyDescent="0.3">
      <c r="B15" s="45" t="s">
        <v>122</v>
      </c>
      <c r="C15" s="46">
        <v>4322.1000000000004</v>
      </c>
      <c r="D15" s="60" t="s">
        <v>124</v>
      </c>
      <c r="E15" s="46">
        <f>C15-C14</f>
        <v>830.80000000000018</v>
      </c>
      <c r="F15" s="67" t="s">
        <v>125</v>
      </c>
      <c r="G15" s="66">
        <f>100-E15*(100+G6)/E12</f>
        <v>8.4504556918660256</v>
      </c>
      <c r="H15" s="125" t="s">
        <v>126</v>
      </c>
      <c r="I15" s="125"/>
      <c r="J15" s="125"/>
      <c r="K15" s="125"/>
    </row>
    <row r="17" spans="2:9" ht="15.75" thickBot="1" x14ac:dyDescent="0.25"/>
    <row r="18" spans="2:9" ht="19.5" thickBot="1" x14ac:dyDescent="0.3">
      <c r="B18" s="6" t="s">
        <v>127</v>
      </c>
    </row>
    <row r="20" spans="2:9" x14ac:dyDescent="0.2">
      <c r="B20" s="45" t="s">
        <v>128</v>
      </c>
      <c r="C20" s="38">
        <v>1</v>
      </c>
      <c r="D20" s="67" t="s">
        <v>11</v>
      </c>
      <c r="E20" s="61">
        <f>120*(100+C20)/100</f>
        <v>121.2</v>
      </c>
    </row>
    <row r="22" spans="2:9" ht="15.75" thickBot="1" x14ac:dyDescent="0.25"/>
    <row r="23" spans="2:9" ht="19.5" thickBot="1" x14ac:dyDescent="0.3">
      <c r="B23" s="6" t="s">
        <v>131</v>
      </c>
    </row>
    <row r="25" spans="2:9" x14ac:dyDescent="0.2">
      <c r="B25" s="45" t="s">
        <v>129</v>
      </c>
      <c r="C25">
        <v>137</v>
      </c>
    </row>
    <row r="26" spans="2:9" x14ac:dyDescent="0.2">
      <c r="B26" s="45" t="s">
        <v>130</v>
      </c>
      <c r="C26">
        <v>101</v>
      </c>
      <c r="D26" s="67" t="s">
        <v>132</v>
      </c>
      <c r="E26" s="66">
        <f>C26/C25*100</f>
        <v>73.722627737226276</v>
      </c>
    </row>
    <row r="28" spans="2:9" x14ac:dyDescent="0.2">
      <c r="B28" s="45" t="s">
        <v>133</v>
      </c>
      <c r="C28">
        <v>139</v>
      </c>
    </row>
    <row r="29" spans="2:9" x14ac:dyDescent="0.2">
      <c r="B29" s="45" t="s">
        <v>134</v>
      </c>
      <c r="C29">
        <v>97</v>
      </c>
      <c r="D29" s="67" t="s">
        <v>135</v>
      </c>
      <c r="E29" s="66">
        <f>C29/C28*100</f>
        <v>69.7841726618705</v>
      </c>
      <c r="F29" s="122" t="s">
        <v>138</v>
      </c>
      <c r="G29" s="122"/>
      <c r="H29" s="122"/>
      <c r="I29" s="122"/>
    </row>
    <row r="31" spans="2:9" x14ac:dyDescent="0.2">
      <c r="D31" s="67" t="s">
        <v>136</v>
      </c>
      <c r="E31" s="66">
        <f>AVERAGE(E26,E29)</f>
        <v>71.753400199548395</v>
      </c>
    </row>
    <row r="33" spans="2:9" ht="15.75" thickBot="1" x14ac:dyDescent="0.25"/>
    <row r="34" spans="2:9" ht="19.5" thickBot="1" x14ac:dyDescent="0.3">
      <c r="B34" s="6" t="s">
        <v>137</v>
      </c>
    </row>
    <row r="36" spans="2:9" x14ac:dyDescent="0.2">
      <c r="B36" s="45" t="s">
        <v>129</v>
      </c>
      <c r="C36">
        <v>132</v>
      </c>
    </row>
    <row r="37" spans="2:9" x14ac:dyDescent="0.2">
      <c r="B37" s="45" t="s">
        <v>130</v>
      </c>
      <c r="C37">
        <v>101</v>
      </c>
      <c r="D37" s="67" t="s">
        <v>132</v>
      </c>
      <c r="E37" s="66">
        <f>C37/C36*100</f>
        <v>76.515151515151516</v>
      </c>
    </row>
    <row r="39" spans="2:9" x14ac:dyDescent="0.2">
      <c r="B39" s="45" t="s">
        <v>133</v>
      </c>
      <c r="C39">
        <v>136</v>
      </c>
    </row>
    <row r="40" spans="2:9" x14ac:dyDescent="0.2">
      <c r="B40" s="45" t="s">
        <v>134</v>
      </c>
      <c r="C40">
        <v>99</v>
      </c>
      <c r="D40" s="67" t="s">
        <v>135</v>
      </c>
      <c r="E40" s="66">
        <f>C40/C39*100</f>
        <v>72.794117647058826</v>
      </c>
      <c r="F40" s="122" t="s">
        <v>138</v>
      </c>
      <c r="G40" s="122"/>
      <c r="H40" s="122"/>
      <c r="I40" s="122"/>
    </row>
    <row r="42" spans="2:9" x14ac:dyDescent="0.2">
      <c r="D42" s="67" t="s">
        <v>140</v>
      </c>
      <c r="E42" s="66">
        <f>AVERAGE(E37,E40)</f>
        <v>74.654634581105171</v>
      </c>
    </row>
    <row r="44" spans="2:9" ht="15.75" thickBot="1" x14ac:dyDescent="0.25"/>
    <row r="45" spans="2:9" ht="19.5" thickBot="1" x14ac:dyDescent="0.3">
      <c r="B45" s="6" t="s">
        <v>139</v>
      </c>
    </row>
    <row r="47" spans="2:9" x14ac:dyDescent="0.2">
      <c r="B47" s="67" t="s">
        <v>141</v>
      </c>
      <c r="C47" s="66">
        <f>AVERAGE(E31,E42)</f>
        <v>73.204017390326783</v>
      </c>
      <c r="D47" s="122" t="s">
        <v>142</v>
      </c>
      <c r="E47" s="122"/>
    </row>
    <row r="49" spans="2:5" x14ac:dyDescent="0.2">
      <c r="B49" s="67" t="s">
        <v>144</v>
      </c>
      <c r="C49" s="68">
        <f>C47</f>
        <v>73.204017390326783</v>
      </c>
      <c r="D49" s="122" t="s">
        <v>143</v>
      </c>
      <c r="E49" s="122"/>
    </row>
  </sheetData>
  <mergeCells count="6">
    <mergeCell ref="D49:E49"/>
    <mergeCell ref="H6:L6"/>
    <mergeCell ref="H15:K15"/>
    <mergeCell ref="F29:I29"/>
    <mergeCell ref="F40:I40"/>
    <mergeCell ref="D47:E47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Hoja16"/>
  <dimension ref="B1:J43"/>
  <sheetViews>
    <sheetView workbookViewId="0">
      <selection activeCell="B2" sqref="B2"/>
    </sheetView>
  </sheetViews>
  <sheetFormatPr defaultColWidth="10.76171875" defaultRowHeight="15" x14ac:dyDescent="0.2"/>
  <cols>
    <col min="2" max="2" width="48.0234375" bestFit="1" customWidth="1"/>
    <col min="4" max="4" width="29.99609375" bestFit="1" customWidth="1"/>
  </cols>
  <sheetData>
    <row r="1" spans="2:4" ht="15.75" thickBot="1" x14ac:dyDescent="0.25"/>
    <row r="2" spans="2:4" ht="19.5" thickBot="1" x14ac:dyDescent="0.3">
      <c r="B2" s="6" t="s">
        <v>111</v>
      </c>
    </row>
    <row r="4" spans="2:4" x14ac:dyDescent="0.2">
      <c r="B4" s="126" t="s">
        <v>145</v>
      </c>
      <c r="C4" s="126"/>
      <c r="D4" s="126"/>
    </row>
    <row r="6" spans="2:4" ht="15.75" thickBot="1" x14ac:dyDescent="0.25"/>
    <row r="7" spans="2:4" ht="19.5" thickBot="1" x14ac:dyDescent="0.3">
      <c r="B7" s="6" t="s">
        <v>120</v>
      </c>
    </row>
    <row r="9" spans="2:4" x14ac:dyDescent="0.2">
      <c r="B9" s="126" t="s">
        <v>145</v>
      </c>
      <c r="C9" s="126"/>
      <c r="D9" s="126"/>
    </row>
    <row r="11" spans="2:4" ht="15.75" thickBot="1" x14ac:dyDescent="0.25"/>
    <row r="12" spans="2:4" ht="19.5" thickBot="1" x14ac:dyDescent="0.3">
      <c r="B12" s="6" t="s">
        <v>127</v>
      </c>
    </row>
    <row r="14" spans="2:4" x14ac:dyDescent="0.2">
      <c r="B14" s="126" t="s">
        <v>146</v>
      </c>
      <c r="C14" s="126"/>
      <c r="D14" s="126"/>
    </row>
    <row r="16" spans="2:4" ht="15.75" thickBot="1" x14ac:dyDescent="0.25"/>
    <row r="17" spans="2:10" ht="19.5" thickBot="1" x14ac:dyDescent="0.3">
      <c r="B17" s="6" t="s">
        <v>131</v>
      </c>
    </row>
    <row r="19" spans="2:10" x14ac:dyDescent="0.2">
      <c r="B19" s="45" t="s">
        <v>129</v>
      </c>
      <c r="C19">
        <v>114</v>
      </c>
    </row>
    <row r="20" spans="2:10" x14ac:dyDescent="0.2">
      <c r="B20" s="45" t="s">
        <v>130</v>
      </c>
      <c r="C20">
        <v>94</v>
      </c>
      <c r="D20" s="67" t="s">
        <v>132</v>
      </c>
      <c r="E20" s="66">
        <f>C20/C19*100</f>
        <v>82.456140350877192</v>
      </c>
    </row>
    <row r="22" spans="2:10" x14ac:dyDescent="0.2">
      <c r="B22" s="45" t="s">
        <v>133</v>
      </c>
      <c r="C22">
        <v>114</v>
      </c>
    </row>
    <row r="23" spans="2:10" x14ac:dyDescent="0.2">
      <c r="B23" s="45" t="s">
        <v>134</v>
      </c>
      <c r="C23">
        <v>98</v>
      </c>
      <c r="D23" s="67" t="s">
        <v>135</v>
      </c>
      <c r="E23" s="66">
        <f>C23/C22*100</f>
        <v>85.964912280701753</v>
      </c>
      <c r="F23" s="122" t="s">
        <v>138</v>
      </c>
      <c r="G23" s="122"/>
      <c r="H23" s="122"/>
      <c r="I23" s="122"/>
      <c r="J23" s="122"/>
    </row>
    <row r="25" spans="2:10" x14ac:dyDescent="0.2">
      <c r="D25" s="67" t="s">
        <v>136</v>
      </c>
      <c r="E25" s="66">
        <f>AVERAGE(E20,E23)</f>
        <v>84.21052631578948</v>
      </c>
    </row>
    <row r="27" spans="2:10" ht="15.75" thickBot="1" x14ac:dyDescent="0.25"/>
    <row r="28" spans="2:10" ht="19.5" thickBot="1" x14ac:dyDescent="0.3">
      <c r="B28" s="6" t="s">
        <v>137</v>
      </c>
    </row>
    <row r="30" spans="2:10" x14ac:dyDescent="0.2">
      <c r="B30" s="45" t="s">
        <v>129</v>
      </c>
      <c r="C30">
        <v>116</v>
      </c>
    </row>
    <row r="31" spans="2:10" x14ac:dyDescent="0.2">
      <c r="B31" s="45" t="s">
        <v>130</v>
      </c>
      <c r="C31">
        <v>96</v>
      </c>
      <c r="D31" s="67" t="s">
        <v>132</v>
      </c>
      <c r="E31" s="66">
        <f>C31/C30*100</f>
        <v>82.758620689655174</v>
      </c>
    </row>
    <row r="33" spans="2:10" x14ac:dyDescent="0.2">
      <c r="B33" s="45" t="s">
        <v>133</v>
      </c>
      <c r="C33">
        <v>110</v>
      </c>
    </row>
    <row r="34" spans="2:10" x14ac:dyDescent="0.2">
      <c r="B34" s="45" t="s">
        <v>134</v>
      </c>
      <c r="C34">
        <v>90</v>
      </c>
      <c r="D34" s="67" t="s">
        <v>135</v>
      </c>
      <c r="E34" s="66">
        <f>C34/C33*100</f>
        <v>81.818181818181827</v>
      </c>
      <c r="F34" s="122" t="s">
        <v>138</v>
      </c>
      <c r="G34" s="122"/>
      <c r="H34" s="122"/>
      <c r="I34" s="122"/>
      <c r="J34" s="122"/>
    </row>
    <row r="36" spans="2:10" x14ac:dyDescent="0.2">
      <c r="D36" s="67" t="s">
        <v>140</v>
      </c>
      <c r="E36" s="66">
        <f>AVERAGE(E31,E34)</f>
        <v>82.288401253918494</v>
      </c>
    </row>
    <row r="38" spans="2:10" ht="15.75" thickBot="1" x14ac:dyDescent="0.25"/>
    <row r="39" spans="2:10" ht="19.5" thickBot="1" x14ac:dyDescent="0.3">
      <c r="B39" s="6" t="s">
        <v>139</v>
      </c>
    </row>
    <row r="41" spans="2:10" x14ac:dyDescent="0.2">
      <c r="B41" s="67" t="s">
        <v>141</v>
      </c>
      <c r="C41" s="66">
        <f>AVERAGE(E25,E36)</f>
        <v>83.249463784853987</v>
      </c>
      <c r="D41" s="122" t="s">
        <v>147</v>
      </c>
      <c r="E41" s="122"/>
      <c r="F41" s="122"/>
    </row>
    <row r="43" spans="2:10" x14ac:dyDescent="0.2">
      <c r="B43" s="67" t="s">
        <v>144</v>
      </c>
      <c r="C43" s="68">
        <f>C41</f>
        <v>83.249463784853987</v>
      </c>
    </row>
  </sheetData>
  <mergeCells count="6">
    <mergeCell ref="F23:J23"/>
    <mergeCell ref="F34:J34"/>
    <mergeCell ref="D41:F41"/>
    <mergeCell ref="B4:D4"/>
    <mergeCell ref="B9:D9"/>
    <mergeCell ref="B14:D14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B1:L30"/>
  <sheetViews>
    <sheetView workbookViewId="0">
      <selection activeCell="J12" sqref="J12"/>
    </sheetView>
  </sheetViews>
  <sheetFormatPr defaultColWidth="10.76171875" defaultRowHeight="15" x14ac:dyDescent="0.2"/>
  <cols>
    <col min="2" max="2" width="30.8046875" bestFit="1" customWidth="1"/>
    <col min="4" max="4" width="22.734375" bestFit="1" customWidth="1"/>
    <col min="6" max="6" width="22.734375" bestFit="1" customWidth="1"/>
    <col min="9" max="9" width="29.45703125" bestFit="1" customWidth="1"/>
  </cols>
  <sheetData>
    <row r="1" spans="2:12" ht="15.75" thickBot="1" x14ac:dyDescent="0.25"/>
    <row r="2" spans="2:12" ht="19.5" thickBot="1" x14ac:dyDescent="0.3">
      <c r="B2" s="6" t="s">
        <v>111</v>
      </c>
    </row>
    <row r="4" spans="2:12" x14ac:dyDescent="0.2">
      <c r="B4" s="45" t="s">
        <v>6</v>
      </c>
      <c r="C4" s="46">
        <v>1303.4000000000001</v>
      </c>
    </row>
    <row r="5" spans="2:12" x14ac:dyDescent="0.2">
      <c r="B5" s="45" t="s">
        <v>113</v>
      </c>
      <c r="C5" s="46">
        <v>1523.1</v>
      </c>
      <c r="D5" s="60" t="s">
        <v>116</v>
      </c>
      <c r="E5" s="46">
        <f>C5-C4</f>
        <v>219.69999999999982</v>
      </c>
    </row>
    <row r="6" spans="2:12" x14ac:dyDescent="0.2">
      <c r="B6" s="45" t="s">
        <v>112</v>
      </c>
      <c r="C6" s="46">
        <v>1517.69</v>
      </c>
      <c r="D6" s="60" t="s">
        <v>115</v>
      </c>
      <c r="E6" s="46">
        <f>C6-C4</f>
        <v>214.28999999999996</v>
      </c>
      <c r="F6" s="67" t="s">
        <v>114</v>
      </c>
      <c r="G6" s="66">
        <f>(E5-E6)/E6*100</f>
        <v>2.5246161743431124</v>
      </c>
    </row>
    <row r="8" spans="2:12" ht="15.75" thickBot="1" x14ac:dyDescent="0.25"/>
    <row r="9" spans="2:12" ht="19.5" thickBot="1" x14ac:dyDescent="0.3">
      <c r="B9" s="6" t="s">
        <v>284</v>
      </c>
      <c r="I9" s="6" t="s">
        <v>291</v>
      </c>
    </row>
    <row r="11" spans="2:12" x14ac:dyDescent="0.2">
      <c r="B11" s="45" t="s">
        <v>6</v>
      </c>
      <c r="C11" s="46">
        <v>630.1</v>
      </c>
      <c r="I11" s="45" t="s">
        <v>292</v>
      </c>
      <c r="J11">
        <v>259.5</v>
      </c>
    </row>
    <row r="12" spans="2:12" x14ac:dyDescent="0.2">
      <c r="B12" s="45" t="s">
        <v>113</v>
      </c>
      <c r="C12" s="46">
        <v>845.4</v>
      </c>
      <c r="I12" s="45" t="s">
        <v>293</v>
      </c>
      <c r="J12">
        <v>2632.4</v>
      </c>
    </row>
    <row r="13" spans="2:12" x14ac:dyDescent="0.2">
      <c r="B13" s="45" t="s">
        <v>285</v>
      </c>
      <c r="C13" s="46">
        <f>C12-C11</f>
        <v>215.29999999999995</v>
      </c>
      <c r="I13" s="45" t="s">
        <v>294</v>
      </c>
      <c r="J13">
        <f>J11/(J12/1000)</f>
        <v>98.579243276097856</v>
      </c>
      <c r="K13" s="67" t="s">
        <v>295</v>
      </c>
      <c r="L13">
        <f>0.6*J13/100</f>
        <v>0.5914754596565871</v>
      </c>
    </row>
    <row r="14" spans="2:12" x14ac:dyDescent="0.2">
      <c r="B14" s="45" t="s">
        <v>286</v>
      </c>
      <c r="C14" s="98">
        <f>C13/(1+G6/100)</f>
        <v>209.99834774692772</v>
      </c>
    </row>
    <row r="15" spans="2:12" x14ac:dyDescent="0.2">
      <c r="B15" s="45" t="s">
        <v>287</v>
      </c>
      <c r="C15" s="44">
        <v>12</v>
      </c>
      <c r="D15" s="67" t="s">
        <v>288</v>
      </c>
      <c r="E15" s="66">
        <f>C15/C14*10</f>
        <v>0.57143306739067234</v>
      </c>
    </row>
    <row r="17" spans="2:7" x14ac:dyDescent="0.2">
      <c r="B17" s="45" t="s">
        <v>6</v>
      </c>
      <c r="C17" s="46">
        <v>1297.5999999999999</v>
      </c>
    </row>
    <row r="18" spans="2:7" x14ac:dyDescent="0.2">
      <c r="B18" s="45" t="s">
        <v>113</v>
      </c>
      <c r="C18" s="46">
        <v>1513.4</v>
      </c>
    </row>
    <row r="19" spans="2:7" x14ac:dyDescent="0.2">
      <c r="B19" s="45" t="s">
        <v>285</v>
      </c>
      <c r="C19" s="46">
        <f>C18-C17</f>
        <v>215.80000000000018</v>
      </c>
    </row>
    <row r="20" spans="2:7" x14ac:dyDescent="0.2">
      <c r="B20" s="45" t="s">
        <v>286</v>
      </c>
      <c r="C20" s="98">
        <f>C19/(1+G6/100)</f>
        <v>210.48603550295888</v>
      </c>
    </row>
    <row r="21" spans="2:7" x14ac:dyDescent="0.2">
      <c r="B21" s="45" t="s">
        <v>287</v>
      </c>
      <c r="C21" s="44">
        <v>12</v>
      </c>
      <c r="D21" s="67" t="s">
        <v>288</v>
      </c>
      <c r="E21" s="66">
        <f>C21/C20*10</f>
        <v>0.57010907974611513</v>
      </c>
      <c r="F21" s="67" t="s">
        <v>290</v>
      </c>
      <c r="G21" s="66">
        <f>AVERAGE(E15,E21)</f>
        <v>0.57077107356839374</v>
      </c>
    </row>
    <row r="23" spans="2:7" ht="15.75" thickBot="1" x14ac:dyDescent="0.25"/>
    <row r="24" spans="2:7" ht="19.5" thickBot="1" x14ac:dyDescent="0.3">
      <c r="B24" s="6" t="s">
        <v>289</v>
      </c>
    </row>
    <row r="26" spans="2:7" x14ac:dyDescent="0.2">
      <c r="B26" s="45" t="s">
        <v>6</v>
      </c>
      <c r="C26" s="46">
        <v>630.1</v>
      </c>
    </row>
    <row r="27" spans="2:7" x14ac:dyDescent="0.2">
      <c r="B27" s="45" t="s">
        <v>113</v>
      </c>
      <c r="C27" s="46">
        <v>662.1</v>
      </c>
    </row>
    <row r="28" spans="2:7" x14ac:dyDescent="0.2">
      <c r="B28" s="45" t="s">
        <v>285</v>
      </c>
      <c r="C28" s="46">
        <f>C27-C26</f>
        <v>32</v>
      </c>
    </row>
    <row r="29" spans="2:7" x14ac:dyDescent="0.2">
      <c r="B29" s="45" t="s">
        <v>286</v>
      </c>
      <c r="C29" s="98">
        <f>C28/(1+G6/100)</f>
        <v>31.212016385980903</v>
      </c>
    </row>
    <row r="30" spans="2:7" x14ac:dyDescent="0.2">
      <c r="B30" s="45" t="s">
        <v>287</v>
      </c>
      <c r="C30" s="44">
        <v>6</v>
      </c>
      <c r="D30" s="67" t="s">
        <v>288</v>
      </c>
      <c r="E30" s="66">
        <f>C30/C29*10</f>
        <v>1.9223365532689334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B1:F19"/>
  <sheetViews>
    <sheetView workbookViewId="0">
      <selection activeCell="F20" sqref="F20"/>
    </sheetView>
  </sheetViews>
  <sheetFormatPr defaultColWidth="10.76171875" defaultRowHeight="15" x14ac:dyDescent="0.2"/>
  <cols>
    <col min="2" max="2" width="20.4453125" bestFit="1" customWidth="1"/>
    <col min="5" max="5" width="20.4453125" bestFit="1" customWidth="1"/>
  </cols>
  <sheetData>
    <row r="1" spans="2:6" ht="15.75" thickBot="1" x14ac:dyDescent="0.25"/>
    <row r="2" spans="2:6" ht="19.5" thickBot="1" x14ac:dyDescent="0.3">
      <c r="B2" s="6" t="s">
        <v>5</v>
      </c>
    </row>
    <row r="4" spans="2:6" x14ac:dyDescent="0.2">
      <c r="B4" s="4" t="s">
        <v>6</v>
      </c>
      <c r="C4" s="7">
        <v>1297.5999999999999</v>
      </c>
    </row>
    <row r="5" spans="2:6" x14ac:dyDescent="0.2">
      <c r="B5" s="4" t="s">
        <v>7</v>
      </c>
      <c r="C5" s="7">
        <v>1719.9</v>
      </c>
      <c r="E5" s="45" t="s">
        <v>239</v>
      </c>
      <c r="F5" s="9">
        <f>C5-C4</f>
        <v>422.30000000000018</v>
      </c>
    </row>
    <row r="7" spans="2:6" x14ac:dyDescent="0.2">
      <c r="E7" s="54" t="s">
        <v>238</v>
      </c>
      <c r="F7">
        <f>(500-F5)/500*100</f>
        <v>15.539999999999965</v>
      </c>
    </row>
    <row r="8" spans="2:6" ht="15.75" thickBot="1" x14ac:dyDescent="0.25"/>
    <row r="9" spans="2:6" ht="19.5" thickBot="1" x14ac:dyDescent="0.3">
      <c r="B9" s="6" t="s">
        <v>15</v>
      </c>
    </row>
    <row r="11" spans="2:6" x14ac:dyDescent="0.2">
      <c r="B11" s="4" t="s">
        <v>6</v>
      </c>
      <c r="C11" s="7">
        <v>1298.7</v>
      </c>
    </row>
    <row r="12" spans="2:6" x14ac:dyDescent="0.2">
      <c r="B12" s="4" t="s">
        <v>7</v>
      </c>
      <c r="C12" s="7">
        <v>1711.8</v>
      </c>
      <c r="E12" s="45" t="s">
        <v>239</v>
      </c>
      <c r="F12" s="9">
        <f>C12-C11</f>
        <v>413.09999999999991</v>
      </c>
    </row>
    <row r="14" spans="2:6" x14ac:dyDescent="0.2">
      <c r="E14" s="54" t="s">
        <v>238</v>
      </c>
      <c r="F14">
        <f>(500-F12)/500*100</f>
        <v>17.380000000000017</v>
      </c>
    </row>
    <row r="15" spans="2:6" ht="15.75" thickBot="1" x14ac:dyDescent="0.25"/>
    <row r="16" spans="2:6" ht="19.5" thickBot="1" x14ac:dyDescent="0.3">
      <c r="B16" s="6" t="s">
        <v>17</v>
      </c>
    </row>
    <row r="18" spans="2:3" x14ac:dyDescent="0.2">
      <c r="B18" s="54" t="s">
        <v>238</v>
      </c>
      <c r="C18" s="84">
        <f>AVERAGE(F7,F14)</f>
        <v>16.45999999999999</v>
      </c>
    </row>
    <row r="19" spans="2:3" x14ac:dyDescent="0.2">
      <c r="C19" s="86">
        <f>C18</f>
        <v>16.45999999999999</v>
      </c>
    </row>
  </sheetData>
  <pageMargins left="0.7" right="0.7" top="0.75" bottom="0.75" header="0.3" footer="0.3"/>
  <pageSetup paperSize="9" orientation="portrait" horizontalDpi="4294967292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B1:L9"/>
  <sheetViews>
    <sheetView workbookViewId="0">
      <selection activeCell="K16" sqref="K16"/>
    </sheetView>
  </sheetViews>
  <sheetFormatPr defaultColWidth="10.76171875" defaultRowHeight="15" x14ac:dyDescent="0.2"/>
  <cols>
    <col min="2" max="2" width="12.9140625" customWidth="1"/>
    <col min="3" max="3" width="13.5859375" customWidth="1"/>
    <col min="4" max="4" width="16.0078125" customWidth="1"/>
    <col min="10" max="12" width="11.56640625" customWidth="1"/>
  </cols>
  <sheetData>
    <row r="1" spans="2:12" ht="15.75" thickBot="1" x14ac:dyDescent="0.25"/>
    <row r="2" spans="2:12" ht="15.75" thickBot="1" x14ac:dyDescent="0.25">
      <c r="B2" s="127" t="s">
        <v>258</v>
      </c>
      <c r="C2" s="128"/>
      <c r="D2" s="129"/>
      <c r="F2" s="109" t="s">
        <v>259</v>
      </c>
      <c r="G2" s="110"/>
      <c r="H2" s="110"/>
      <c r="I2" s="110"/>
      <c r="J2" s="110"/>
      <c r="K2" s="110"/>
      <c r="L2" s="111"/>
    </row>
    <row r="4" spans="2:12" ht="15.75" thickBot="1" x14ac:dyDescent="0.25"/>
    <row r="5" spans="2:12" ht="15.75" thickBot="1" x14ac:dyDescent="0.25">
      <c r="B5" s="130" t="s">
        <v>260</v>
      </c>
      <c r="C5" s="131"/>
      <c r="D5" s="132"/>
      <c r="F5" s="109" t="s">
        <v>261</v>
      </c>
      <c r="G5" s="110"/>
      <c r="H5" s="110"/>
      <c r="I5" s="110"/>
      <c r="J5" s="110"/>
      <c r="K5" s="110"/>
      <c r="L5" s="111"/>
    </row>
    <row r="7" spans="2:12" ht="15.75" thickBot="1" x14ac:dyDescent="0.25"/>
    <row r="8" spans="2:12" ht="15.75" thickBot="1" x14ac:dyDescent="0.25">
      <c r="B8" s="130" t="s">
        <v>262</v>
      </c>
      <c r="C8" s="131"/>
      <c r="D8" s="132"/>
      <c r="F8" s="109" t="s">
        <v>263</v>
      </c>
      <c r="G8" s="110"/>
      <c r="H8" s="110"/>
      <c r="I8" s="110"/>
      <c r="J8" s="110"/>
      <c r="K8" s="110"/>
      <c r="L8" s="111"/>
    </row>
    <row r="9" spans="2:12" x14ac:dyDescent="0.2">
      <c r="H9" s="109" t="s">
        <v>264</v>
      </c>
      <c r="I9" s="110"/>
      <c r="J9" s="111"/>
    </row>
  </sheetData>
  <mergeCells count="7">
    <mergeCell ref="H9:J9"/>
    <mergeCell ref="B2:D2"/>
    <mergeCell ref="F2:L2"/>
    <mergeCell ref="B5:D5"/>
    <mergeCell ref="F5:L5"/>
    <mergeCell ref="B8:D8"/>
    <mergeCell ref="F8:L8"/>
  </mergeCells>
  <pageMargins left="0.7" right="0.7" top="0.75" bottom="0.75" header="0.3" footer="0.3"/>
  <pageSetup paperSize="9" orientation="portrait" horizontalDpi="4294967292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K124"/>
  <sheetViews>
    <sheetView zoomScale="70" zoomScaleNormal="70" workbookViewId="0">
      <selection activeCell="I86" sqref="I86"/>
    </sheetView>
  </sheetViews>
  <sheetFormatPr defaultColWidth="10.76171875" defaultRowHeight="15" x14ac:dyDescent="0.2"/>
  <cols>
    <col min="2" max="2" width="17.21875" bestFit="1" customWidth="1"/>
    <col min="3" max="5" width="37.6640625" bestFit="1" customWidth="1"/>
    <col min="6" max="6" width="33.765625" bestFit="1" customWidth="1"/>
    <col min="7" max="7" width="34.97265625" bestFit="1" customWidth="1"/>
    <col min="8" max="8" width="37.6640625" bestFit="1" customWidth="1"/>
    <col min="9" max="9" width="38.3359375" bestFit="1" customWidth="1"/>
    <col min="10" max="10" width="37.6640625" bestFit="1" customWidth="1"/>
    <col min="11" max="11" width="59.99609375" bestFit="1" customWidth="1"/>
  </cols>
  <sheetData>
    <row r="1" spans="2:9" ht="15.75" thickBot="1" x14ac:dyDescent="0.25"/>
    <row r="2" spans="2:9" ht="19.5" thickBot="1" x14ac:dyDescent="0.3">
      <c r="B2" s="6" t="s">
        <v>5</v>
      </c>
    </row>
    <row r="4" spans="2:9" x14ac:dyDescent="0.2">
      <c r="B4" s="4" t="s">
        <v>6</v>
      </c>
      <c r="C4" s="7">
        <v>1300.4000000000001</v>
      </c>
      <c r="D4" s="5"/>
      <c r="E4" s="5"/>
    </row>
    <row r="5" spans="2:9" x14ac:dyDescent="0.2">
      <c r="B5" s="4" t="s">
        <v>7</v>
      </c>
      <c r="C5" s="7">
        <v>1597.3</v>
      </c>
      <c r="D5" s="4" t="s">
        <v>11</v>
      </c>
      <c r="E5" s="7">
        <f>C5-C4</f>
        <v>296.89999999999986</v>
      </c>
    </row>
    <row r="8" spans="2:9" ht="18" x14ac:dyDescent="0.25">
      <c r="B8" s="10" t="s">
        <v>0</v>
      </c>
      <c r="C8" s="10" t="s">
        <v>1</v>
      </c>
      <c r="E8" s="10" t="s">
        <v>2</v>
      </c>
      <c r="F8" s="70"/>
      <c r="G8" s="10" t="s">
        <v>3</v>
      </c>
      <c r="H8" s="10" t="s">
        <v>10</v>
      </c>
      <c r="I8" s="10" t="s">
        <v>4</v>
      </c>
    </row>
    <row r="9" spans="2:9" x14ac:dyDescent="0.2">
      <c r="B9" s="70">
        <v>4</v>
      </c>
      <c r="C9" s="8">
        <v>1.3</v>
      </c>
      <c r="D9" s="8"/>
      <c r="E9" s="8">
        <f>C9</f>
        <v>1.3</v>
      </c>
      <c r="F9" s="3"/>
      <c r="G9" s="8">
        <f>C9/$E$5*100</f>
        <v>0.43785786460087595</v>
      </c>
      <c r="H9" s="8">
        <f>E9/$E$5*100</f>
        <v>0.43785786460087595</v>
      </c>
      <c r="I9" s="8">
        <f t="shared" ref="I9:I16" si="0">100-H9</f>
        <v>99.562142135399128</v>
      </c>
    </row>
    <row r="10" spans="2:9" x14ac:dyDescent="0.2">
      <c r="B10" s="70">
        <v>2</v>
      </c>
      <c r="C10" s="8">
        <v>75.5</v>
      </c>
      <c r="D10" s="8"/>
      <c r="E10" s="8">
        <f t="shared" ref="E10:E16" si="1">C10+E9</f>
        <v>76.8</v>
      </c>
      <c r="F10" s="3"/>
      <c r="G10" s="8">
        <f t="shared" ref="G10:G15" si="2">C10/$E$5*100</f>
        <v>25.429437521050868</v>
      </c>
      <c r="H10" s="8">
        <f t="shared" ref="H10:H15" si="3">E10/$E$5*100</f>
        <v>25.867295385651744</v>
      </c>
      <c r="I10" s="8">
        <f t="shared" si="0"/>
        <v>74.132704614348256</v>
      </c>
    </row>
    <row r="11" spans="2:9" x14ac:dyDescent="0.2">
      <c r="B11" s="70">
        <v>1</v>
      </c>
      <c r="C11" s="8">
        <v>65.599999999999994</v>
      </c>
      <c r="D11" s="8"/>
      <c r="E11" s="8">
        <f t="shared" si="1"/>
        <v>142.39999999999998</v>
      </c>
      <c r="F11" s="3"/>
      <c r="G11" s="8">
        <f t="shared" si="2"/>
        <v>22.0949814752442</v>
      </c>
      <c r="H11" s="8">
        <f t="shared" si="3"/>
        <v>47.96227686089594</v>
      </c>
      <c r="I11" s="8">
        <f t="shared" si="0"/>
        <v>52.03772313910406</v>
      </c>
    </row>
    <row r="12" spans="2:9" x14ac:dyDescent="0.2">
      <c r="B12" s="70">
        <v>0.5</v>
      </c>
      <c r="C12" s="8">
        <v>55.4</v>
      </c>
      <c r="D12" s="8"/>
      <c r="E12" s="8">
        <f t="shared" si="1"/>
        <v>197.79999999999998</v>
      </c>
      <c r="F12" s="3"/>
      <c r="G12" s="8">
        <f t="shared" si="2"/>
        <v>18.659481306837328</v>
      </c>
      <c r="H12" s="8">
        <f t="shared" si="3"/>
        <v>66.621758167733276</v>
      </c>
      <c r="I12" s="8">
        <f t="shared" si="0"/>
        <v>33.378241832266724</v>
      </c>
    </row>
    <row r="13" spans="2:9" x14ac:dyDescent="0.2">
      <c r="B13" s="70">
        <v>0.25</v>
      </c>
      <c r="C13" s="8">
        <v>45.4</v>
      </c>
      <c r="D13" s="8"/>
      <c r="E13" s="8">
        <f t="shared" si="1"/>
        <v>243.2</v>
      </c>
      <c r="F13" s="3"/>
      <c r="G13" s="8">
        <f t="shared" si="2"/>
        <v>15.291343886830589</v>
      </c>
      <c r="H13" s="8">
        <f t="shared" si="3"/>
        <v>81.913102054563865</v>
      </c>
      <c r="I13" s="8">
        <f t="shared" si="0"/>
        <v>18.086897945436135</v>
      </c>
    </row>
    <row r="14" spans="2:9" x14ac:dyDescent="0.2">
      <c r="B14" s="70">
        <v>0.125</v>
      </c>
      <c r="C14" s="8">
        <v>26</v>
      </c>
      <c r="D14" s="8"/>
      <c r="E14" s="8">
        <f t="shared" si="1"/>
        <v>269.2</v>
      </c>
      <c r="F14" s="3"/>
      <c r="G14" s="8">
        <f t="shared" si="2"/>
        <v>8.7571572920175189</v>
      </c>
      <c r="H14" s="8">
        <f t="shared" si="3"/>
        <v>90.670259346581389</v>
      </c>
      <c r="I14" s="8">
        <f t="shared" si="0"/>
        <v>9.3297406534186109</v>
      </c>
    </row>
    <row r="15" spans="2:9" x14ac:dyDescent="0.2">
      <c r="B15" s="70">
        <v>6.3E-2</v>
      </c>
      <c r="C15" s="8">
        <v>13.2</v>
      </c>
      <c r="D15" s="3" t="s">
        <v>8</v>
      </c>
      <c r="E15" s="8">
        <f t="shared" si="1"/>
        <v>282.39999999999998</v>
      </c>
      <c r="F15" s="3" t="s">
        <v>8</v>
      </c>
      <c r="G15" s="8">
        <f t="shared" si="2"/>
        <v>4.4459413944088935</v>
      </c>
      <c r="H15" s="8">
        <f t="shared" si="3"/>
        <v>95.116200740990266</v>
      </c>
      <c r="I15" s="8">
        <f t="shared" si="0"/>
        <v>4.8837992590097343</v>
      </c>
    </row>
    <row r="16" spans="2:9" x14ac:dyDescent="0.2">
      <c r="B16" s="70" t="s">
        <v>12</v>
      </c>
      <c r="C16" s="8">
        <v>14.5</v>
      </c>
      <c r="D16" s="8">
        <f>$E$5-(SUM(C9:C15))</f>
        <v>14.499999999999886</v>
      </c>
      <c r="E16" s="8">
        <f t="shared" si="1"/>
        <v>296.89999999999998</v>
      </c>
      <c r="F16" s="8">
        <f>E15+D16</f>
        <v>296.89999999999986</v>
      </c>
      <c r="G16" s="8">
        <f>D16/$E$5*100</f>
        <v>4.8837992590097317</v>
      </c>
      <c r="H16" s="8">
        <f>F16/$E$5*100</f>
        <v>100</v>
      </c>
      <c r="I16" s="8">
        <f t="shared" si="0"/>
        <v>0</v>
      </c>
    </row>
    <row r="18" spans="2:11" x14ac:dyDescent="0.2">
      <c r="D18" s="9"/>
      <c r="G18" t="s">
        <v>9</v>
      </c>
    </row>
    <row r="19" spans="2:11" x14ac:dyDescent="0.2">
      <c r="G19" s="1">
        <f>SUM(G9:G16)</f>
        <v>100.00000000000001</v>
      </c>
    </row>
    <row r="21" spans="2:11" ht="15.75" thickBot="1" x14ac:dyDescent="0.25"/>
    <row r="22" spans="2:11" ht="19.5" thickBot="1" x14ac:dyDescent="0.3">
      <c r="B22" s="6" t="s">
        <v>15</v>
      </c>
    </row>
    <row r="23" spans="2:11" x14ac:dyDescent="0.2">
      <c r="F23" s="74"/>
    </row>
    <row r="24" spans="2:11" x14ac:dyDescent="0.2">
      <c r="B24" s="4" t="s">
        <v>6</v>
      </c>
      <c r="C24" s="7">
        <v>1297.5999999999999</v>
      </c>
      <c r="D24" s="5"/>
      <c r="E24" s="5"/>
    </row>
    <row r="25" spans="2:11" x14ac:dyDescent="0.2">
      <c r="B25" s="4" t="s">
        <v>7</v>
      </c>
      <c r="C25" s="7">
        <v>1592.9</v>
      </c>
      <c r="D25" s="4" t="s">
        <v>11</v>
      </c>
      <c r="E25" s="7">
        <f>C25-C24</f>
        <v>295.30000000000018</v>
      </c>
    </row>
    <row r="28" spans="2:11" ht="18" x14ac:dyDescent="0.25">
      <c r="B28" s="10" t="s">
        <v>0</v>
      </c>
      <c r="C28" s="10" t="s">
        <v>1</v>
      </c>
      <c r="E28" s="10" t="s">
        <v>2</v>
      </c>
      <c r="F28" s="70"/>
      <c r="G28" s="10" t="s">
        <v>3</v>
      </c>
      <c r="H28" s="10" t="s">
        <v>10</v>
      </c>
      <c r="I28" s="10" t="s">
        <v>4</v>
      </c>
    </row>
    <row r="29" spans="2:11" x14ac:dyDescent="0.2">
      <c r="B29" s="70">
        <v>4</v>
      </c>
      <c r="C29" s="8">
        <v>2.2999999999999998</v>
      </c>
      <c r="D29" s="8"/>
      <c r="E29" s="8">
        <f>C29</f>
        <v>2.2999999999999998</v>
      </c>
      <c r="F29" s="3"/>
      <c r="G29" s="8">
        <f t="shared" ref="G29:G35" si="4">C29/$E$25*100</f>
        <v>0.77886894683372787</v>
      </c>
      <c r="H29" s="8">
        <f t="shared" ref="H29:H35" si="5">E29/$E$25*100</f>
        <v>0.77886894683372787</v>
      </c>
      <c r="I29" s="8">
        <f t="shared" ref="I29:I36" si="6">100-H29</f>
        <v>99.221131053166275</v>
      </c>
      <c r="J29" s="8"/>
      <c r="K29" s="8"/>
    </row>
    <row r="30" spans="2:11" x14ac:dyDescent="0.2">
      <c r="B30" s="70">
        <v>2</v>
      </c>
      <c r="C30" s="8">
        <v>73.3</v>
      </c>
      <c r="D30" s="8"/>
      <c r="E30" s="8">
        <f t="shared" ref="E30:E36" si="7">C30+E29</f>
        <v>75.599999999999994</v>
      </c>
      <c r="F30" s="3"/>
      <c r="G30" s="8">
        <f t="shared" si="4"/>
        <v>24.822214696918373</v>
      </c>
      <c r="H30" s="8">
        <f t="shared" si="5"/>
        <v>25.601083643752098</v>
      </c>
      <c r="I30" s="8">
        <f t="shared" si="6"/>
        <v>74.398916356247895</v>
      </c>
      <c r="J30" s="8"/>
      <c r="K30" s="8"/>
    </row>
    <row r="31" spans="2:11" x14ac:dyDescent="0.2">
      <c r="B31" s="70">
        <v>1</v>
      </c>
      <c r="C31" s="8">
        <v>62</v>
      </c>
      <c r="D31" s="8"/>
      <c r="E31" s="8">
        <f t="shared" si="7"/>
        <v>137.6</v>
      </c>
      <c r="F31" s="3"/>
      <c r="G31" s="8">
        <f t="shared" si="4"/>
        <v>20.995597697257015</v>
      </c>
      <c r="H31" s="8">
        <f t="shared" si="5"/>
        <v>46.596681341009109</v>
      </c>
      <c r="I31" s="8">
        <f t="shared" si="6"/>
        <v>53.403318658990891</v>
      </c>
      <c r="J31" s="8"/>
      <c r="K31" s="8"/>
    </row>
    <row r="32" spans="2:11" x14ac:dyDescent="0.2">
      <c r="B32" s="70">
        <v>0.5</v>
      </c>
      <c r="C32" s="8">
        <v>55.3</v>
      </c>
      <c r="D32" s="8"/>
      <c r="E32" s="8">
        <f t="shared" si="7"/>
        <v>192.89999999999998</v>
      </c>
      <c r="F32" s="3"/>
      <c r="G32" s="8">
        <f t="shared" si="4"/>
        <v>18.726718591263108</v>
      </c>
      <c r="H32" s="8">
        <f t="shared" si="5"/>
        <v>65.323399932272224</v>
      </c>
      <c r="I32" s="8">
        <f t="shared" si="6"/>
        <v>34.676600067727776</v>
      </c>
      <c r="J32" s="8"/>
      <c r="K32" s="8"/>
    </row>
    <row r="33" spans="2:11" x14ac:dyDescent="0.2">
      <c r="B33" s="70">
        <v>0.25</v>
      </c>
      <c r="C33" s="8">
        <v>47.1</v>
      </c>
      <c r="D33" s="8"/>
      <c r="E33" s="8">
        <f t="shared" si="7"/>
        <v>239.99999999999997</v>
      </c>
      <c r="F33" s="3"/>
      <c r="G33" s="8">
        <f t="shared" si="4"/>
        <v>15.949881476464602</v>
      </c>
      <c r="H33" s="8">
        <f t="shared" si="5"/>
        <v>81.273281408736821</v>
      </c>
      <c r="I33" s="8">
        <f t="shared" si="6"/>
        <v>18.726718591263179</v>
      </c>
      <c r="J33" s="8"/>
      <c r="K33" s="8"/>
    </row>
    <row r="34" spans="2:11" x14ac:dyDescent="0.2">
      <c r="B34" s="70">
        <v>0.125</v>
      </c>
      <c r="C34" s="8">
        <v>27.2</v>
      </c>
      <c r="D34" s="8"/>
      <c r="E34" s="8">
        <f t="shared" si="7"/>
        <v>267.2</v>
      </c>
      <c r="F34" s="3"/>
      <c r="G34" s="8">
        <f t="shared" si="4"/>
        <v>9.2109718929901732</v>
      </c>
      <c r="H34" s="8">
        <f t="shared" si="5"/>
        <v>90.484253301727009</v>
      </c>
      <c r="I34" s="8">
        <f t="shared" si="6"/>
        <v>9.5157466982729915</v>
      </c>
      <c r="J34" s="8"/>
      <c r="K34" s="8"/>
    </row>
    <row r="35" spans="2:11" x14ac:dyDescent="0.2">
      <c r="B35" s="70">
        <v>6.3E-2</v>
      </c>
      <c r="C35" s="8">
        <v>14</v>
      </c>
      <c r="D35" s="3" t="s">
        <v>8</v>
      </c>
      <c r="E35" s="8">
        <f t="shared" si="7"/>
        <v>281.2</v>
      </c>
      <c r="F35" s="3" t="s">
        <v>8</v>
      </c>
      <c r="G35" s="8">
        <f t="shared" si="4"/>
        <v>4.7409414155096483</v>
      </c>
      <c r="H35" s="8">
        <f t="shared" si="5"/>
        <v>95.225194717236647</v>
      </c>
      <c r="I35" s="8">
        <f t="shared" si="6"/>
        <v>4.7748052827633529</v>
      </c>
      <c r="J35" s="8"/>
      <c r="K35" s="8"/>
    </row>
    <row r="36" spans="2:11" x14ac:dyDescent="0.2">
      <c r="B36" s="70" t="s">
        <v>12</v>
      </c>
      <c r="C36" s="8">
        <v>13.9</v>
      </c>
      <c r="D36" s="8">
        <f>$E$25-(SUM(C29:C35))</f>
        <v>14.100000000000193</v>
      </c>
      <c r="E36" s="8">
        <f t="shared" si="7"/>
        <v>295.09999999999997</v>
      </c>
      <c r="F36" s="8">
        <f>E35+D36</f>
        <v>295.30000000000018</v>
      </c>
      <c r="G36" s="8">
        <f>D36/$E$25*100</f>
        <v>4.7748052827633547</v>
      </c>
      <c r="H36" s="8">
        <f>F36/$E$25*100</f>
        <v>100</v>
      </c>
      <c r="I36" s="8">
        <f t="shared" si="6"/>
        <v>0</v>
      </c>
      <c r="J36" s="8"/>
    </row>
    <row r="38" spans="2:11" x14ac:dyDescent="0.2">
      <c r="C38" t="s">
        <v>13</v>
      </c>
      <c r="D38" s="9"/>
      <c r="G38" t="s">
        <v>9</v>
      </c>
    </row>
    <row r="39" spans="2:11" x14ac:dyDescent="0.2">
      <c r="G39" s="1">
        <f>SUM(G29:G36)</f>
        <v>100</v>
      </c>
    </row>
    <row r="40" spans="2:11" ht="15.75" thickBot="1" x14ac:dyDescent="0.25"/>
    <row r="41" spans="2:11" ht="19.5" thickBot="1" x14ac:dyDescent="0.3">
      <c r="B41" s="6" t="s">
        <v>16</v>
      </c>
    </row>
    <row r="43" spans="2:11" ht="18" x14ac:dyDescent="0.25">
      <c r="C43" s="10" t="s">
        <v>10</v>
      </c>
      <c r="D43" s="10" t="s">
        <v>10</v>
      </c>
      <c r="E43" s="10" t="s">
        <v>10</v>
      </c>
      <c r="F43" s="10" t="s">
        <v>4</v>
      </c>
    </row>
    <row r="44" spans="2:11" ht="18" x14ac:dyDescent="0.25">
      <c r="B44" s="10" t="s">
        <v>0</v>
      </c>
      <c r="C44" s="10" t="s">
        <v>5</v>
      </c>
      <c r="D44" s="10" t="s">
        <v>15</v>
      </c>
      <c r="E44" s="10" t="s">
        <v>17</v>
      </c>
      <c r="F44" s="10" t="s">
        <v>17</v>
      </c>
    </row>
    <row r="45" spans="2:11" x14ac:dyDescent="0.2">
      <c r="B45" s="70">
        <v>4</v>
      </c>
      <c r="C45" s="8">
        <f t="shared" ref="C45:C52" si="8">H9</f>
        <v>0.43785786460087595</v>
      </c>
      <c r="D45" s="8">
        <f t="shared" ref="D45:D52" si="9">H29</f>
        <v>0.77886894683372787</v>
      </c>
      <c r="E45" s="8">
        <f t="shared" ref="E45:E52" si="10">(C45+D45)/2</f>
        <v>0.60836340571730196</v>
      </c>
      <c r="F45" s="39">
        <f t="shared" ref="F45:F52" si="11">100-E45</f>
        <v>99.391636594282701</v>
      </c>
    </row>
    <row r="46" spans="2:11" x14ac:dyDescent="0.2">
      <c r="B46" s="70">
        <v>2</v>
      </c>
      <c r="C46" s="8">
        <f t="shared" si="8"/>
        <v>25.867295385651744</v>
      </c>
      <c r="D46" s="8">
        <f t="shared" si="9"/>
        <v>25.601083643752098</v>
      </c>
      <c r="E46" s="8">
        <f t="shared" si="10"/>
        <v>25.734189514701921</v>
      </c>
      <c r="F46" s="39">
        <f t="shared" si="11"/>
        <v>74.265810485298076</v>
      </c>
      <c r="G46" s="14" t="s">
        <v>18</v>
      </c>
      <c r="H46" s="18">
        <v>4</v>
      </c>
    </row>
    <row r="47" spans="2:11" x14ac:dyDescent="0.2">
      <c r="B47" s="70">
        <v>1</v>
      </c>
      <c r="C47" s="8">
        <f t="shared" si="8"/>
        <v>47.96227686089594</v>
      </c>
      <c r="D47" s="8">
        <f t="shared" si="9"/>
        <v>46.596681341009109</v>
      </c>
      <c r="E47" s="8">
        <f t="shared" si="10"/>
        <v>47.279479100952528</v>
      </c>
      <c r="F47" s="39">
        <f t="shared" si="11"/>
        <v>52.720520899047472</v>
      </c>
      <c r="G47" s="14" t="s">
        <v>19</v>
      </c>
      <c r="H47" s="81">
        <v>0</v>
      </c>
    </row>
    <row r="48" spans="2:11" x14ac:dyDescent="0.2">
      <c r="B48" s="70">
        <v>0.5</v>
      </c>
      <c r="C48" s="8">
        <f t="shared" si="8"/>
        <v>66.621758167733276</v>
      </c>
      <c r="D48" s="8">
        <f t="shared" si="9"/>
        <v>65.323399932272224</v>
      </c>
      <c r="E48" s="8">
        <f t="shared" si="10"/>
        <v>65.97257905000275</v>
      </c>
      <c r="F48" s="39">
        <f t="shared" si="11"/>
        <v>34.02742094999725</v>
      </c>
      <c r="H48" s="20"/>
    </row>
    <row r="49" spans="2:11" ht="18" x14ac:dyDescent="0.25">
      <c r="B49" s="70">
        <v>0.25</v>
      </c>
      <c r="C49" s="8">
        <f t="shared" si="8"/>
        <v>81.913102054563865</v>
      </c>
      <c r="D49" s="8">
        <f t="shared" si="9"/>
        <v>81.273281408736821</v>
      </c>
      <c r="E49" s="8">
        <f t="shared" si="10"/>
        <v>81.593191731650336</v>
      </c>
      <c r="F49" s="39">
        <f t="shared" si="11"/>
        <v>18.406808268349664</v>
      </c>
      <c r="H49" s="10" t="s">
        <v>5</v>
      </c>
      <c r="I49" s="10" t="s">
        <v>15</v>
      </c>
      <c r="J49" s="10" t="s">
        <v>17</v>
      </c>
    </row>
    <row r="50" spans="2:11" ht="18" x14ac:dyDescent="0.3">
      <c r="B50" s="70">
        <v>0.125</v>
      </c>
      <c r="C50" s="8">
        <f t="shared" si="8"/>
        <v>90.670259346581389</v>
      </c>
      <c r="D50" s="8">
        <f t="shared" si="9"/>
        <v>90.484253301727009</v>
      </c>
      <c r="E50" s="8">
        <f t="shared" si="10"/>
        <v>90.577256324154206</v>
      </c>
      <c r="F50" s="39">
        <f t="shared" si="11"/>
        <v>9.4227436758457941</v>
      </c>
      <c r="G50" s="15" t="s">
        <v>20</v>
      </c>
      <c r="H50" s="21">
        <f>SUM(C45:C52)/100</f>
        <v>5.0858875042101737</v>
      </c>
      <c r="I50" s="21">
        <f>SUM(D45:D52)/100</f>
        <v>5.052827632915676</v>
      </c>
      <c r="J50" s="21">
        <f>SUM(E45:E52)/100</f>
        <v>5.0693575685629249</v>
      </c>
    </row>
    <row r="51" spans="2:11" x14ac:dyDescent="0.2">
      <c r="B51" s="70">
        <v>6.3E-2</v>
      </c>
      <c r="C51" s="8">
        <f t="shared" si="8"/>
        <v>95.116200740990266</v>
      </c>
      <c r="D51" s="8">
        <f t="shared" si="9"/>
        <v>95.225194717236647</v>
      </c>
      <c r="E51" s="8">
        <f t="shared" si="10"/>
        <v>95.170697729113456</v>
      </c>
      <c r="F51" s="39">
        <f t="shared" si="11"/>
        <v>4.8293022708865436</v>
      </c>
    </row>
    <row r="52" spans="2:11" x14ac:dyDescent="0.2">
      <c r="B52" s="70">
        <v>0</v>
      </c>
      <c r="C52" s="8">
        <f t="shared" si="8"/>
        <v>100</v>
      </c>
      <c r="D52" s="8">
        <f t="shared" si="9"/>
        <v>100</v>
      </c>
      <c r="E52" s="8">
        <f t="shared" si="10"/>
        <v>100</v>
      </c>
      <c r="F52" s="39">
        <f t="shared" si="11"/>
        <v>0</v>
      </c>
      <c r="G52" s="15" t="s">
        <v>21</v>
      </c>
      <c r="H52" s="22" t="s">
        <v>223</v>
      </c>
    </row>
    <row r="53" spans="2:11" x14ac:dyDescent="0.2">
      <c r="G53" s="15" t="s">
        <v>23</v>
      </c>
      <c r="H53" s="23" t="s">
        <v>237</v>
      </c>
    </row>
    <row r="55" spans="2:11" ht="18" x14ac:dyDescent="0.25">
      <c r="H55" s="10" t="s">
        <v>5</v>
      </c>
      <c r="I55" s="10" t="s">
        <v>15</v>
      </c>
      <c r="J55" s="10" t="s">
        <v>17</v>
      </c>
    </row>
    <row r="56" spans="2:11" x14ac:dyDescent="0.2">
      <c r="G56" s="15" t="s">
        <v>28</v>
      </c>
      <c r="H56" s="8">
        <f>D16</f>
        <v>14.499999999999886</v>
      </c>
      <c r="I56" s="8">
        <f>D36</f>
        <v>14.100000000000193</v>
      </c>
      <c r="J56" s="8">
        <f>AVERAGE(H56:I56)</f>
        <v>14.30000000000004</v>
      </c>
    </row>
    <row r="57" spans="2:11" x14ac:dyDescent="0.2">
      <c r="G57" s="24" t="s">
        <v>27</v>
      </c>
      <c r="H57" s="8">
        <f>E5</f>
        <v>296.89999999999986</v>
      </c>
      <c r="I57" s="8">
        <f>E25</f>
        <v>295.30000000000018</v>
      </c>
      <c r="J57" s="8">
        <f>AVERAGE(H57:I57)</f>
        <v>296.10000000000002</v>
      </c>
    </row>
    <row r="58" spans="2:11" x14ac:dyDescent="0.2">
      <c r="G58" s="24" t="s">
        <v>30</v>
      </c>
      <c r="H58" s="17">
        <f>100*H56/H57</f>
        <v>4.8837992590097317</v>
      </c>
      <c r="I58" s="17">
        <f>I56*100/I57</f>
        <v>4.7748052827633538</v>
      </c>
      <c r="J58" s="17">
        <f>J56*100/J57</f>
        <v>4.8294495103005879</v>
      </c>
      <c r="K58" s="76" t="s">
        <v>224</v>
      </c>
    </row>
    <row r="59" spans="2:11" x14ac:dyDescent="0.2">
      <c r="G59" t="s">
        <v>26</v>
      </c>
      <c r="K59" s="76" t="s">
        <v>35</v>
      </c>
    </row>
    <row r="85" spans="2:6" ht="15.75" thickBot="1" x14ac:dyDescent="0.25"/>
    <row r="86" spans="2:6" ht="19.5" thickBot="1" x14ac:dyDescent="0.3">
      <c r="C86" s="6" t="s">
        <v>225</v>
      </c>
    </row>
    <row r="88" spans="2:6" ht="18" x14ac:dyDescent="0.25">
      <c r="C88" s="10" t="s">
        <v>10</v>
      </c>
      <c r="D88" s="10" t="s">
        <v>226</v>
      </c>
      <c r="E88" s="10" t="s">
        <v>226</v>
      </c>
    </row>
    <row r="89" spans="2:6" ht="18" x14ac:dyDescent="0.25">
      <c r="B89" s="10" t="s">
        <v>0</v>
      </c>
      <c r="C89" s="10" t="s">
        <v>17</v>
      </c>
      <c r="D89" s="10" t="s">
        <v>38</v>
      </c>
      <c r="E89" s="10" t="s">
        <v>39</v>
      </c>
    </row>
    <row r="90" spans="2:6" x14ac:dyDescent="0.2">
      <c r="B90" s="70">
        <v>4</v>
      </c>
      <c r="C90" s="8">
        <f>E45</f>
        <v>0.60836340571730196</v>
      </c>
      <c r="D90" s="70">
        <v>15</v>
      </c>
      <c r="E90" s="70">
        <v>0</v>
      </c>
    </row>
    <row r="91" spans="2:6" x14ac:dyDescent="0.2">
      <c r="B91" s="70">
        <v>2</v>
      </c>
      <c r="C91" s="8">
        <f t="shared" ref="C91:C97" si="12">E46</f>
        <v>25.734189514701921</v>
      </c>
      <c r="D91" s="70">
        <v>38</v>
      </c>
      <c r="E91" s="70">
        <v>4</v>
      </c>
    </row>
    <row r="92" spans="2:6" x14ac:dyDescent="0.2">
      <c r="B92" s="70">
        <v>1</v>
      </c>
      <c r="C92" s="8">
        <f t="shared" si="12"/>
        <v>47.279479100952528</v>
      </c>
      <c r="D92" s="70">
        <v>60</v>
      </c>
      <c r="E92" s="70">
        <v>16</v>
      </c>
    </row>
    <row r="93" spans="2:6" x14ac:dyDescent="0.2">
      <c r="B93" s="70">
        <v>0.5</v>
      </c>
      <c r="C93" s="8">
        <f t="shared" si="12"/>
        <v>65.97257905000275</v>
      </c>
      <c r="D93" s="70">
        <v>82</v>
      </c>
      <c r="E93" s="70">
        <v>40</v>
      </c>
    </row>
    <row r="94" spans="2:6" x14ac:dyDescent="0.2">
      <c r="B94" s="70">
        <v>0.25</v>
      </c>
      <c r="C94" s="8">
        <f t="shared" si="12"/>
        <v>81.593191731650336</v>
      </c>
      <c r="D94" s="70">
        <v>94</v>
      </c>
      <c r="E94" s="70">
        <v>70</v>
      </c>
    </row>
    <row r="95" spans="2:6" x14ac:dyDescent="0.2">
      <c r="B95" s="70">
        <v>0.125</v>
      </c>
      <c r="C95" s="8">
        <f t="shared" si="12"/>
        <v>90.577256324154206</v>
      </c>
      <c r="D95" s="70">
        <v>100</v>
      </c>
      <c r="E95" s="70">
        <v>77</v>
      </c>
    </row>
    <row r="96" spans="2:6" x14ac:dyDescent="0.2">
      <c r="B96" s="70">
        <v>6.3E-2</v>
      </c>
      <c r="C96" s="8">
        <f t="shared" si="12"/>
        <v>95.170697729113456</v>
      </c>
      <c r="D96" s="70">
        <v>100</v>
      </c>
      <c r="E96" s="82">
        <v>94</v>
      </c>
      <c r="F96" t="s">
        <v>227</v>
      </c>
    </row>
    <row r="97" spans="2:5" x14ac:dyDescent="0.2">
      <c r="B97" s="70">
        <v>0</v>
      </c>
      <c r="C97" s="8">
        <f t="shared" si="12"/>
        <v>100</v>
      </c>
    </row>
    <row r="98" spans="2:5" ht="18" x14ac:dyDescent="0.25">
      <c r="C98" s="8"/>
      <c r="E98" s="29" t="s">
        <v>228</v>
      </c>
    </row>
    <row r="99" spans="2:5" x14ac:dyDescent="0.2">
      <c r="C99" s="8"/>
      <c r="E99" s="70">
        <f>100-E90</f>
        <v>100</v>
      </c>
    </row>
    <row r="100" spans="2:5" x14ac:dyDescent="0.2">
      <c r="C100" s="8"/>
      <c r="E100" s="70">
        <f t="shared" ref="E100:E104" si="13">100-E91</f>
        <v>96</v>
      </c>
    </row>
    <row r="101" spans="2:5" x14ac:dyDescent="0.2">
      <c r="C101" s="8"/>
      <c r="E101" s="70">
        <f t="shared" si="13"/>
        <v>84</v>
      </c>
    </row>
    <row r="102" spans="2:5" x14ac:dyDescent="0.2">
      <c r="C102" s="8"/>
      <c r="E102" s="70">
        <f t="shared" si="13"/>
        <v>60</v>
      </c>
    </row>
    <row r="103" spans="2:5" x14ac:dyDescent="0.2">
      <c r="C103" s="8"/>
      <c r="E103" s="70">
        <f>100-E94</f>
        <v>30</v>
      </c>
    </row>
    <row r="104" spans="2:5" x14ac:dyDescent="0.2">
      <c r="E104" s="70">
        <f t="shared" si="13"/>
        <v>23</v>
      </c>
    </row>
    <row r="105" spans="2:5" x14ac:dyDescent="0.2">
      <c r="E105" s="70">
        <f>100-E96</f>
        <v>6</v>
      </c>
    </row>
    <row r="106" spans="2:5" ht="15.75" thickBot="1" x14ac:dyDescent="0.25"/>
    <row r="107" spans="2:5" ht="19.5" thickBot="1" x14ac:dyDescent="0.3">
      <c r="C107" s="6" t="s">
        <v>40</v>
      </c>
    </row>
    <row r="109" spans="2:5" ht="18" x14ac:dyDescent="0.25">
      <c r="C109" s="10" t="s">
        <v>4</v>
      </c>
      <c r="D109" s="10" t="s">
        <v>41</v>
      </c>
      <c r="E109" s="10" t="s">
        <v>41</v>
      </c>
    </row>
    <row r="110" spans="2:5" ht="20.25" x14ac:dyDescent="0.25">
      <c r="B110" s="10" t="s">
        <v>0</v>
      </c>
      <c r="C110" s="10" t="s">
        <v>17</v>
      </c>
      <c r="D110" s="10" t="s">
        <v>42</v>
      </c>
      <c r="E110" s="10" t="s">
        <v>43</v>
      </c>
    </row>
    <row r="111" spans="2:5" x14ac:dyDescent="0.2">
      <c r="B111" s="70">
        <v>4</v>
      </c>
      <c r="C111" s="8">
        <f>F45</f>
        <v>99.391636594282701</v>
      </c>
      <c r="D111" s="11">
        <f>100*(B111/$H$46)^0.5</f>
        <v>100</v>
      </c>
      <c r="E111" s="11">
        <f>100-D111</f>
        <v>0</v>
      </c>
    </row>
    <row r="112" spans="2:5" x14ac:dyDescent="0.2">
      <c r="B112" s="70">
        <v>2</v>
      </c>
      <c r="C112" s="8">
        <f t="shared" ref="C112:C118" si="14">F46</f>
        <v>74.265810485298076</v>
      </c>
      <c r="D112" s="11">
        <f t="shared" ref="D112:D118" si="15">100*(B112/$H$46)^0.5</f>
        <v>70.710678118654755</v>
      </c>
      <c r="E112" s="11">
        <f t="shared" ref="E112:E118" si="16">100-D112</f>
        <v>29.289321881345245</v>
      </c>
    </row>
    <row r="113" spans="2:10" x14ac:dyDescent="0.2">
      <c r="B113" s="70">
        <v>1</v>
      </c>
      <c r="C113" s="8">
        <f t="shared" si="14"/>
        <v>52.720520899047472</v>
      </c>
      <c r="D113" s="11">
        <f t="shared" si="15"/>
        <v>50</v>
      </c>
      <c r="E113" s="11">
        <f t="shared" si="16"/>
        <v>50</v>
      </c>
    </row>
    <row r="114" spans="2:10" x14ac:dyDescent="0.2">
      <c r="B114" s="70">
        <v>0.5</v>
      </c>
      <c r="C114" s="8">
        <f t="shared" si="14"/>
        <v>34.02742094999725</v>
      </c>
      <c r="D114" s="11">
        <f t="shared" si="15"/>
        <v>35.355339059327378</v>
      </c>
      <c r="E114" s="11">
        <f t="shared" si="16"/>
        <v>64.644660940672622</v>
      </c>
    </row>
    <row r="115" spans="2:10" x14ac:dyDescent="0.2">
      <c r="B115" s="70">
        <v>0.25</v>
      </c>
      <c r="C115" s="8">
        <f t="shared" si="14"/>
        <v>18.406808268349664</v>
      </c>
      <c r="D115" s="11">
        <f t="shared" si="15"/>
        <v>25</v>
      </c>
      <c r="E115" s="11">
        <f t="shared" si="16"/>
        <v>75</v>
      </c>
    </row>
    <row r="116" spans="2:10" x14ac:dyDescent="0.2">
      <c r="B116" s="70">
        <v>0.125</v>
      </c>
      <c r="C116" s="8">
        <f t="shared" si="14"/>
        <v>9.4227436758457941</v>
      </c>
      <c r="D116" s="11">
        <f t="shared" si="15"/>
        <v>17.677669529663689</v>
      </c>
      <c r="E116" s="11">
        <f t="shared" si="16"/>
        <v>82.322330470336311</v>
      </c>
    </row>
    <row r="117" spans="2:10" x14ac:dyDescent="0.2">
      <c r="B117" s="70">
        <v>6.3E-2</v>
      </c>
      <c r="C117" s="8">
        <f t="shared" si="14"/>
        <v>4.8293022708865436</v>
      </c>
      <c r="D117" s="11">
        <f t="shared" si="15"/>
        <v>12.549900398011133</v>
      </c>
      <c r="E117" s="11">
        <f t="shared" si="16"/>
        <v>87.450099601988867</v>
      </c>
    </row>
    <row r="118" spans="2:10" x14ac:dyDescent="0.2">
      <c r="B118" s="70">
        <v>0</v>
      </c>
      <c r="C118" s="8">
        <f t="shared" si="14"/>
        <v>0</v>
      </c>
      <c r="D118" s="11">
        <f t="shared" si="15"/>
        <v>0</v>
      </c>
      <c r="E118" s="11">
        <f t="shared" si="16"/>
        <v>100</v>
      </c>
    </row>
    <row r="119" spans="2:10" x14ac:dyDescent="0.2">
      <c r="C119" s="8"/>
      <c r="D119" s="11"/>
      <c r="E119" s="11"/>
    </row>
    <row r="120" spans="2:10" x14ac:dyDescent="0.2">
      <c r="C120" s="8"/>
      <c r="D120" s="11"/>
      <c r="E120" s="11"/>
    </row>
    <row r="121" spans="2:10" x14ac:dyDescent="0.2">
      <c r="C121" s="8"/>
      <c r="D121" s="11"/>
      <c r="E121" s="11"/>
    </row>
    <row r="122" spans="2:10" x14ac:dyDescent="0.2">
      <c r="C122" s="8"/>
      <c r="D122" s="11"/>
      <c r="E122" s="11"/>
    </row>
    <row r="123" spans="2:10" x14ac:dyDescent="0.2">
      <c r="C123" s="8"/>
      <c r="D123" s="11"/>
      <c r="E123" s="11"/>
      <c r="I123" s="35" t="s">
        <v>229</v>
      </c>
      <c r="J123" s="35" t="s">
        <v>231</v>
      </c>
    </row>
    <row r="124" spans="2:10" x14ac:dyDescent="0.2">
      <c r="C124" s="8"/>
      <c r="D124" s="11"/>
      <c r="E124" s="11"/>
      <c r="I124" s="35" t="s">
        <v>230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3"/>
  <dimension ref="B1:E31"/>
  <sheetViews>
    <sheetView workbookViewId="0">
      <selection activeCell="C30" sqref="C30"/>
    </sheetView>
  </sheetViews>
  <sheetFormatPr defaultColWidth="10.76171875" defaultRowHeight="15" x14ac:dyDescent="0.2"/>
  <cols>
    <col min="2" max="2" width="38.7421875" bestFit="1" customWidth="1"/>
    <col min="4" max="4" width="29.32421875" bestFit="1" customWidth="1"/>
  </cols>
  <sheetData>
    <row r="1" spans="2:5" ht="15.75" thickBot="1" x14ac:dyDescent="0.25"/>
    <row r="2" spans="2:5" ht="19.5" thickBot="1" x14ac:dyDescent="0.3">
      <c r="B2" s="6" t="s">
        <v>219</v>
      </c>
    </row>
    <row r="3" spans="2:5" ht="15.75" thickBot="1" x14ac:dyDescent="0.25"/>
    <row r="4" spans="2:5" ht="19.5" thickBot="1" x14ac:dyDescent="0.3">
      <c r="B4" s="79" t="s">
        <v>5</v>
      </c>
    </row>
    <row r="6" spans="2:5" x14ac:dyDescent="0.2">
      <c r="B6" s="45" t="s">
        <v>6</v>
      </c>
      <c r="C6" s="46">
        <v>1095.5</v>
      </c>
    </row>
    <row r="7" spans="2:5" x14ac:dyDescent="0.2">
      <c r="B7" s="45" t="s">
        <v>113</v>
      </c>
      <c r="C7" s="46">
        <v>3492.6</v>
      </c>
      <c r="D7" s="60" t="s">
        <v>116</v>
      </c>
      <c r="E7" s="46">
        <f>C7-C6</f>
        <v>2397.1</v>
      </c>
    </row>
    <row r="8" spans="2:5" x14ac:dyDescent="0.2">
      <c r="B8" s="45" t="s">
        <v>112</v>
      </c>
      <c r="C8" s="46">
        <v>3478.4</v>
      </c>
      <c r="D8" s="60" t="s">
        <v>221</v>
      </c>
      <c r="E8" s="46">
        <f>C8-C6</f>
        <v>2382.9</v>
      </c>
    </row>
    <row r="9" spans="2:5" x14ac:dyDescent="0.2">
      <c r="C9" s="44"/>
    </row>
    <row r="10" spans="2:5" x14ac:dyDescent="0.2">
      <c r="D10" s="54" t="s">
        <v>220</v>
      </c>
      <c r="E10" s="66">
        <f>(E7-E8)/E8*100</f>
        <v>0.59591254353937717</v>
      </c>
    </row>
    <row r="11" spans="2:5" ht="15.75" thickBot="1" x14ac:dyDescent="0.25"/>
    <row r="12" spans="2:5" ht="19.5" thickBot="1" x14ac:dyDescent="0.3">
      <c r="B12" s="79" t="s">
        <v>15</v>
      </c>
    </row>
    <row r="14" spans="2:5" x14ac:dyDescent="0.2">
      <c r="B14" s="45" t="s">
        <v>6</v>
      </c>
      <c r="C14" s="46">
        <v>1090.9000000000001</v>
      </c>
    </row>
    <row r="15" spans="2:5" x14ac:dyDescent="0.2">
      <c r="B15" s="45" t="s">
        <v>113</v>
      </c>
      <c r="C15" s="46">
        <v>3389.9</v>
      </c>
      <c r="D15" s="60" t="s">
        <v>116</v>
      </c>
      <c r="E15" s="46">
        <f>C15-C14</f>
        <v>2299</v>
      </c>
    </row>
    <row r="16" spans="2:5" x14ac:dyDescent="0.2">
      <c r="B16" s="45" t="s">
        <v>112</v>
      </c>
      <c r="C16" s="46">
        <v>3376.9</v>
      </c>
      <c r="D16" s="60" t="s">
        <v>221</v>
      </c>
      <c r="E16" s="46">
        <f>C16-C14</f>
        <v>2286</v>
      </c>
    </row>
    <row r="17" spans="2:5" x14ac:dyDescent="0.2">
      <c r="C17" s="44"/>
    </row>
    <row r="18" spans="2:5" x14ac:dyDescent="0.2">
      <c r="D18" s="54" t="s">
        <v>220</v>
      </c>
      <c r="E18" s="66">
        <f>(E15-E16)/E16*100</f>
        <v>0.56867891513560809</v>
      </c>
    </row>
    <row r="19" spans="2:5" ht="15.75" thickBot="1" x14ac:dyDescent="0.25"/>
    <row r="20" spans="2:5" ht="19.5" thickBot="1" x14ac:dyDescent="0.3">
      <c r="B20" s="79" t="s">
        <v>17</v>
      </c>
    </row>
    <row r="22" spans="2:5" x14ac:dyDescent="0.2">
      <c r="B22" s="54" t="s">
        <v>220</v>
      </c>
      <c r="C22" s="66">
        <f>AVERAGE(E10,E18)</f>
        <v>0.58229572933749263</v>
      </c>
    </row>
    <row r="24" spans="2:5" ht="15.75" thickBot="1" x14ac:dyDescent="0.25"/>
    <row r="25" spans="2:5" ht="19.5" thickBot="1" x14ac:dyDescent="0.3">
      <c r="B25" s="99" t="s">
        <v>222</v>
      </c>
      <c r="C25" s="100"/>
    </row>
    <row r="27" spans="2:5" x14ac:dyDescent="0.2">
      <c r="B27" s="45" t="s">
        <v>6</v>
      </c>
      <c r="C27" s="46">
        <v>1298.5</v>
      </c>
    </row>
    <row r="28" spans="2:5" x14ac:dyDescent="0.2">
      <c r="B28" s="45" t="s">
        <v>113</v>
      </c>
      <c r="C28" s="46">
        <v>1960</v>
      </c>
      <c r="D28" s="60" t="s">
        <v>116</v>
      </c>
      <c r="E28" s="46">
        <f>C28-C27</f>
        <v>661.5</v>
      </c>
    </row>
    <row r="29" spans="2:5" x14ac:dyDescent="0.2">
      <c r="B29" s="45" t="s">
        <v>112</v>
      </c>
      <c r="C29" s="46">
        <v>1931.2</v>
      </c>
      <c r="D29" s="60" t="s">
        <v>221</v>
      </c>
      <c r="E29" s="46">
        <f>C29-C27</f>
        <v>632.70000000000005</v>
      </c>
    </row>
    <row r="30" spans="2:5" x14ac:dyDescent="0.2">
      <c r="C30" s="44"/>
    </row>
    <row r="31" spans="2:5" x14ac:dyDescent="0.2">
      <c r="D31" s="54" t="s">
        <v>220</v>
      </c>
      <c r="E31" s="66">
        <f>(E28-E29)/E29*100</f>
        <v>4.5519203413940179</v>
      </c>
    </row>
  </sheetData>
  <mergeCells count="1">
    <mergeCell ref="B25:C2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4"/>
  <dimension ref="B1:G44"/>
  <sheetViews>
    <sheetView topLeftCell="A22" workbookViewId="0">
      <selection activeCell="F44" sqref="F44"/>
    </sheetView>
  </sheetViews>
  <sheetFormatPr defaultColWidth="10.76171875" defaultRowHeight="15" x14ac:dyDescent="0.2"/>
  <cols>
    <col min="2" max="2" width="18.83203125" bestFit="1" customWidth="1"/>
    <col min="3" max="4" width="26.76953125" bestFit="1" customWidth="1"/>
    <col min="5" max="6" width="31.74609375" bestFit="1" customWidth="1"/>
    <col min="7" max="7" width="24.078125" bestFit="1" customWidth="1"/>
  </cols>
  <sheetData>
    <row r="1" spans="2:6" ht="15.75" thickBot="1" x14ac:dyDescent="0.25"/>
    <row r="2" spans="2:6" ht="19.5" thickBot="1" x14ac:dyDescent="0.3">
      <c r="B2" s="6" t="s">
        <v>5</v>
      </c>
    </row>
    <row r="4" spans="2:6" x14ac:dyDescent="0.2">
      <c r="B4" s="4" t="s">
        <v>6</v>
      </c>
      <c r="C4" s="7">
        <v>3491.2</v>
      </c>
      <c r="D4" s="5"/>
      <c r="E4" s="5"/>
    </row>
    <row r="5" spans="2:6" x14ac:dyDescent="0.2">
      <c r="B5" s="4" t="s">
        <v>7</v>
      </c>
      <c r="C5" s="7">
        <v>6546.5</v>
      </c>
    </row>
    <row r="6" spans="2:6" x14ac:dyDescent="0.2">
      <c r="B6" s="4" t="s">
        <v>48</v>
      </c>
      <c r="C6" s="7">
        <f>132.6+7.1+5.2+4.9+4.1+2.9+8.2</f>
        <v>164.99999999999997</v>
      </c>
      <c r="D6" s="4" t="s">
        <v>11</v>
      </c>
      <c r="E6" s="7">
        <f>C5-C4-C6</f>
        <v>2890.3</v>
      </c>
    </row>
    <row r="8" spans="2:6" ht="18" x14ac:dyDescent="0.25">
      <c r="B8" s="10" t="s">
        <v>0</v>
      </c>
      <c r="C8" s="10" t="s">
        <v>1</v>
      </c>
      <c r="D8" s="10" t="s">
        <v>44</v>
      </c>
      <c r="E8" s="10" t="s">
        <v>45</v>
      </c>
      <c r="F8" s="10" t="s">
        <v>46</v>
      </c>
    </row>
    <row r="9" spans="2:6" x14ac:dyDescent="0.2">
      <c r="B9" s="2">
        <v>16</v>
      </c>
      <c r="C9" s="2">
        <v>0</v>
      </c>
      <c r="D9" s="2">
        <v>10</v>
      </c>
      <c r="E9" s="2">
        <v>0</v>
      </c>
      <c r="F9" s="11">
        <v>0</v>
      </c>
    </row>
    <row r="10" spans="2:6" x14ac:dyDescent="0.2">
      <c r="B10" s="2">
        <v>12.5</v>
      </c>
      <c r="C10" s="2">
        <v>1.7</v>
      </c>
      <c r="D10" s="2">
        <v>8</v>
      </c>
      <c r="E10" s="2">
        <v>0</v>
      </c>
      <c r="F10" s="11">
        <f t="shared" ref="F10:F15" si="0">E10/C10*100</f>
        <v>0</v>
      </c>
    </row>
    <row r="11" spans="2:6" x14ac:dyDescent="0.2">
      <c r="B11" s="2">
        <v>10</v>
      </c>
      <c r="C11" s="2">
        <v>418.2</v>
      </c>
      <c r="D11" s="2">
        <v>6.3</v>
      </c>
      <c r="E11" s="2">
        <v>15.1</v>
      </c>
      <c r="F11" s="11">
        <f t="shared" si="0"/>
        <v>3.6107125777140125</v>
      </c>
    </row>
    <row r="12" spans="2:6" x14ac:dyDescent="0.2">
      <c r="B12" s="2">
        <v>8</v>
      </c>
      <c r="C12" s="2">
        <v>696.1</v>
      </c>
      <c r="D12" s="2">
        <v>5</v>
      </c>
      <c r="E12" s="2">
        <v>29.8</v>
      </c>
      <c r="F12" s="11">
        <f t="shared" si="0"/>
        <v>4.2809941100416609</v>
      </c>
    </row>
    <row r="13" spans="2:6" x14ac:dyDescent="0.2">
      <c r="B13" s="2">
        <v>6.3</v>
      </c>
      <c r="C13" s="2">
        <v>708.8</v>
      </c>
      <c r="D13" s="2">
        <v>4</v>
      </c>
      <c r="E13" s="2">
        <v>40.6</v>
      </c>
      <c r="F13" s="11">
        <f t="shared" si="0"/>
        <v>5.7279909706546288</v>
      </c>
    </row>
    <row r="14" spans="2:6" x14ac:dyDescent="0.2">
      <c r="B14" s="2">
        <v>5</v>
      </c>
      <c r="C14" s="2">
        <v>585.9</v>
      </c>
      <c r="D14" s="2">
        <v>3.15</v>
      </c>
      <c r="E14" s="2">
        <v>40.9</v>
      </c>
      <c r="F14" s="11">
        <f t="shared" si="0"/>
        <v>6.9807134323263353</v>
      </c>
    </row>
    <row r="15" spans="2:6" x14ac:dyDescent="0.2">
      <c r="B15" s="2">
        <v>4</v>
      </c>
      <c r="C15" s="2">
        <v>468.8</v>
      </c>
      <c r="D15" s="2">
        <v>2.5</v>
      </c>
      <c r="E15" s="2">
        <v>33.799999999999997</v>
      </c>
      <c r="F15" s="11">
        <f t="shared" si="0"/>
        <v>7.2098976109215007</v>
      </c>
    </row>
    <row r="16" spans="2:6" x14ac:dyDescent="0.2">
      <c r="E16" s="34" t="s">
        <v>47</v>
      </c>
    </row>
    <row r="17" spans="2:7" x14ac:dyDescent="0.2">
      <c r="C17" s="34" t="s">
        <v>47</v>
      </c>
      <c r="E17" s="30">
        <f>SUM(E9:E15)</f>
        <v>160.19999999999999</v>
      </c>
    </row>
    <row r="18" spans="2:7" x14ac:dyDescent="0.2">
      <c r="C18" s="30">
        <f>SUM(C9:C15)</f>
        <v>2879.5</v>
      </c>
      <c r="F18" s="33" t="s">
        <v>51</v>
      </c>
    </row>
    <row r="19" spans="2:7" x14ac:dyDescent="0.2">
      <c r="C19" s="34" t="s">
        <v>49</v>
      </c>
      <c r="F19" s="31">
        <f>E17/C18*100</f>
        <v>5.5634658794929672</v>
      </c>
      <c r="G19" s="32" t="s">
        <v>52</v>
      </c>
    </row>
    <row r="20" spans="2:7" x14ac:dyDescent="0.2">
      <c r="C20" s="31">
        <f>(E6-C18)/E6*100</f>
        <v>0.37366363353285753</v>
      </c>
      <c r="D20" s="32" t="s">
        <v>50</v>
      </c>
    </row>
    <row r="22" spans="2:7" ht="15.75" thickBot="1" x14ac:dyDescent="0.25"/>
    <row r="23" spans="2:7" ht="19.5" thickBot="1" x14ac:dyDescent="0.3">
      <c r="B23" s="6" t="s">
        <v>15</v>
      </c>
    </row>
    <row r="25" spans="2:7" x14ac:dyDescent="0.2">
      <c r="B25" s="4" t="s">
        <v>6</v>
      </c>
      <c r="C25" s="7">
        <v>1092.9000000000001</v>
      </c>
      <c r="D25" s="5"/>
      <c r="E25" s="5"/>
    </row>
    <row r="26" spans="2:7" x14ac:dyDescent="0.2">
      <c r="B26" s="4" t="s">
        <v>7</v>
      </c>
      <c r="C26" s="7">
        <v>4017.5</v>
      </c>
    </row>
    <row r="27" spans="2:7" x14ac:dyDescent="0.2">
      <c r="B27" s="4" t="s">
        <v>48</v>
      </c>
      <c r="C27" s="7">
        <v>45.9</v>
      </c>
      <c r="D27" s="4" t="s">
        <v>11</v>
      </c>
      <c r="E27" s="7">
        <f>C26-C25-C27</f>
        <v>2878.7</v>
      </c>
    </row>
    <row r="29" spans="2:7" ht="18" x14ac:dyDescent="0.25">
      <c r="B29" s="10" t="s">
        <v>0</v>
      </c>
      <c r="C29" s="10" t="s">
        <v>1</v>
      </c>
      <c r="D29" s="10" t="s">
        <v>44</v>
      </c>
      <c r="E29" s="10" t="s">
        <v>45</v>
      </c>
      <c r="F29" s="10" t="s">
        <v>46</v>
      </c>
    </row>
    <row r="30" spans="2:7" x14ac:dyDescent="0.2">
      <c r="B30" s="83">
        <v>16</v>
      </c>
      <c r="C30" s="83">
        <v>0</v>
      </c>
      <c r="D30" s="83">
        <v>10</v>
      </c>
      <c r="E30" s="83">
        <v>0</v>
      </c>
      <c r="F30" s="11">
        <v>0</v>
      </c>
    </row>
    <row r="31" spans="2:7" x14ac:dyDescent="0.2">
      <c r="B31" s="83">
        <v>12.5</v>
      </c>
      <c r="C31" s="83">
        <v>32.9</v>
      </c>
      <c r="D31" s="83">
        <v>8</v>
      </c>
      <c r="E31" s="83">
        <v>3.9</v>
      </c>
      <c r="F31" s="11">
        <f t="shared" ref="F31:F36" si="1">E31/C31*100</f>
        <v>11.854103343465045</v>
      </c>
    </row>
    <row r="32" spans="2:7" x14ac:dyDescent="0.2">
      <c r="B32" s="83">
        <v>10</v>
      </c>
      <c r="C32" s="83">
        <v>589.4</v>
      </c>
      <c r="D32" s="83">
        <v>6.3</v>
      </c>
      <c r="E32" s="83">
        <v>31.1</v>
      </c>
      <c r="F32" s="11">
        <f t="shared" si="1"/>
        <v>5.2765524261961323</v>
      </c>
    </row>
    <row r="33" spans="2:7" x14ac:dyDescent="0.2">
      <c r="B33" s="83">
        <v>8</v>
      </c>
      <c r="C33" s="83">
        <v>661.7</v>
      </c>
      <c r="D33" s="83">
        <v>5</v>
      </c>
      <c r="E33" s="83">
        <v>22.4</v>
      </c>
      <c r="F33" s="11">
        <f t="shared" si="1"/>
        <v>3.3852198881668425</v>
      </c>
    </row>
    <row r="34" spans="2:7" x14ac:dyDescent="0.2">
      <c r="B34" s="83">
        <v>6.3</v>
      </c>
      <c r="C34" s="83">
        <v>657.3</v>
      </c>
      <c r="D34" s="83">
        <v>4</v>
      </c>
      <c r="E34" s="83">
        <v>28.3</v>
      </c>
      <c r="F34" s="11">
        <f t="shared" si="1"/>
        <v>4.3054921649170854</v>
      </c>
    </row>
    <row r="35" spans="2:7" x14ac:dyDescent="0.2">
      <c r="B35" s="83">
        <v>5</v>
      </c>
      <c r="C35" s="83">
        <v>509.4</v>
      </c>
      <c r="D35" s="83">
        <v>3.15</v>
      </c>
      <c r="E35" s="83">
        <v>34.5</v>
      </c>
      <c r="F35" s="11">
        <f t="shared" si="1"/>
        <v>6.7726737338044769</v>
      </c>
    </row>
    <row r="36" spans="2:7" x14ac:dyDescent="0.2">
      <c r="B36" s="83">
        <v>4</v>
      </c>
      <c r="C36" s="83">
        <v>427.6</v>
      </c>
      <c r="D36" s="83">
        <v>2.5</v>
      </c>
      <c r="E36" s="83">
        <v>27.8</v>
      </c>
      <c r="F36" s="11">
        <f t="shared" si="1"/>
        <v>6.5014031805425629</v>
      </c>
    </row>
    <row r="37" spans="2:7" x14ac:dyDescent="0.2">
      <c r="E37" s="34" t="s">
        <v>47</v>
      </c>
    </row>
    <row r="38" spans="2:7" x14ac:dyDescent="0.2">
      <c r="C38" s="34" t="s">
        <v>47</v>
      </c>
      <c r="E38" s="30">
        <f>SUM(E30:E36)</f>
        <v>148</v>
      </c>
    </row>
    <row r="39" spans="2:7" x14ac:dyDescent="0.2">
      <c r="C39" s="30">
        <f>SUM(C30:C36)</f>
        <v>2878.2999999999997</v>
      </c>
      <c r="F39" s="33" t="s">
        <v>51</v>
      </c>
    </row>
    <row r="40" spans="2:7" x14ac:dyDescent="0.2">
      <c r="C40" s="34" t="s">
        <v>49</v>
      </c>
      <c r="F40" s="31">
        <f>E38/C39*100</f>
        <v>5.1419240523920378</v>
      </c>
      <c r="G40" s="32" t="s">
        <v>52</v>
      </c>
    </row>
    <row r="41" spans="2:7" x14ac:dyDescent="0.2">
      <c r="C41" s="31">
        <f>(E27-C39)/E27*100</f>
        <v>1.3895161010181366E-2</v>
      </c>
      <c r="D41" s="32" t="s">
        <v>50</v>
      </c>
    </row>
    <row r="43" spans="2:7" ht="15.75" thickBot="1" x14ac:dyDescent="0.25"/>
    <row r="44" spans="2:7" ht="19.5" thickBot="1" x14ac:dyDescent="0.3">
      <c r="B44" s="6" t="s">
        <v>69</v>
      </c>
      <c r="D44" s="37" t="s">
        <v>236</v>
      </c>
      <c r="E44" s="66">
        <f>AVERAGE(F19,F40)</f>
        <v>5.3526949659425025</v>
      </c>
      <c r="F44" s="32" t="s">
        <v>52</v>
      </c>
    </row>
  </sheetData>
  <pageMargins left="0.7" right="0.7" top="0.75" bottom="0.75" header="0.3" footer="0.3"/>
  <pageSetup paperSize="9" orientation="portrait" horizontalDpi="4294967292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5"/>
  <dimension ref="B1:K47"/>
  <sheetViews>
    <sheetView workbookViewId="0">
      <selection activeCell="B2" sqref="B2"/>
    </sheetView>
  </sheetViews>
  <sheetFormatPr defaultColWidth="10.76171875" defaultRowHeight="15" x14ac:dyDescent="0.2"/>
  <cols>
    <col min="2" max="2" width="17.21875" bestFit="1" customWidth="1"/>
    <col min="3" max="3" width="19.1015625" bestFit="1" customWidth="1"/>
    <col min="4" max="4" width="26.09765625" bestFit="1" customWidth="1"/>
    <col min="5" max="5" width="33.62890625" bestFit="1" customWidth="1"/>
    <col min="6" max="6" width="27.3046875" bestFit="1" customWidth="1"/>
    <col min="7" max="7" width="32.1484375" bestFit="1" customWidth="1"/>
    <col min="8" max="8" width="18.83203125" bestFit="1" customWidth="1"/>
    <col min="9" max="9" width="32.015625" bestFit="1" customWidth="1"/>
    <col min="10" max="10" width="35.109375" bestFit="1" customWidth="1"/>
    <col min="11" max="11" width="9.81640625" customWidth="1"/>
  </cols>
  <sheetData>
    <row r="1" spans="2:11" ht="15.75" thickBot="1" x14ac:dyDescent="0.25"/>
    <row r="2" spans="2:11" ht="19.5" thickBot="1" x14ac:dyDescent="0.3">
      <c r="B2" s="6" t="s">
        <v>5</v>
      </c>
    </row>
    <row r="4" spans="2:11" x14ac:dyDescent="0.2">
      <c r="B4" s="4" t="s">
        <v>6</v>
      </c>
      <c r="C4" s="7">
        <v>1298.5</v>
      </c>
      <c r="D4" s="5"/>
      <c r="E4" s="5"/>
    </row>
    <row r="5" spans="2:11" x14ac:dyDescent="0.2">
      <c r="B5" s="4" t="s">
        <v>7</v>
      </c>
      <c r="C5" s="7">
        <v>1950.9</v>
      </c>
      <c r="D5" s="4" t="s">
        <v>11</v>
      </c>
      <c r="E5" s="7">
        <f>C5-C4</f>
        <v>652.40000000000009</v>
      </c>
    </row>
    <row r="7" spans="2:11" ht="21" x14ac:dyDescent="0.35">
      <c r="B7" s="10" t="s">
        <v>0</v>
      </c>
      <c r="C7" s="10" t="s">
        <v>56</v>
      </c>
      <c r="E7" s="10" t="s">
        <v>63</v>
      </c>
      <c r="F7" s="10" t="s">
        <v>57</v>
      </c>
      <c r="G7" s="10" t="s">
        <v>61</v>
      </c>
      <c r="H7" s="10" t="s">
        <v>62</v>
      </c>
      <c r="I7" s="10" t="s">
        <v>60</v>
      </c>
      <c r="J7" s="10" t="s">
        <v>64</v>
      </c>
      <c r="K7" s="10" t="s">
        <v>65</v>
      </c>
    </row>
    <row r="8" spans="2:11" x14ac:dyDescent="0.2">
      <c r="B8" s="2">
        <v>12.5</v>
      </c>
      <c r="C8" s="3">
        <v>0</v>
      </c>
      <c r="E8" s="11">
        <f>C8/$E$5*100</f>
        <v>0</v>
      </c>
      <c r="F8" s="2" t="str">
        <f>IF(E8&lt;10, "SI","NO")</f>
        <v>SI</v>
      </c>
      <c r="G8" s="2">
        <v>0</v>
      </c>
      <c r="H8" s="2">
        <v>0</v>
      </c>
      <c r="I8" s="8">
        <v>0</v>
      </c>
      <c r="J8" s="11">
        <v>0</v>
      </c>
      <c r="K8" s="11">
        <f>E8*J8</f>
        <v>0</v>
      </c>
    </row>
    <row r="9" spans="2:11" x14ac:dyDescent="0.2">
      <c r="B9" s="2">
        <v>11.2</v>
      </c>
      <c r="C9" s="3">
        <v>34.799999999999997</v>
      </c>
      <c r="E9" s="11">
        <f t="shared" ref="E9:E14" si="0">C9/$E$5*100</f>
        <v>5.3341508277130583</v>
      </c>
      <c r="F9" s="2" t="str">
        <f t="shared" ref="F9:F15" si="1">IF(E9&lt;10, "SI","NO")</f>
        <v>SI</v>
      </c>
      <c r="G9" s="2">
        <v>34.799999999999997</v>
      </c>
      <c r="H9" s="2">
        <v>0</v>
      </c>
      <c r="I9" s="8">
        <v>13</v>
      </c>
      <c r="J9" s="11">
        <f t="shared" ref="J9:J14" si="2">I9/G9*100</f>
        <v>37.356321839080465</v>
      </c>
      <c r="K9" s="11">
        <f t="shared" ref="K9:K14" si="3">E9*J9</f>
        <v>199.26425505824645</v>
      </c>
    </row>
    <row r="10" spans="2:11" x14ac:dyDescent="0.2">
      <c r="B10" s="2">
        <v>10</v>
      </c>
      <c r="C10" s="3">
        <v>54.3</v>
      </c>
      <c r="E10" s="11">
        <f t="shared" si="0"/>
        <v>8.3231146535867548</v>
      </c>
      <c r="F10" s="2" t="str">
        <f t="shared" si="1"/>
        <v>SI</v>
      </c>
      <c r="G10" s="2">
        <v>54.3</v>
      </c>
      <c r="H10" s="2">
        <v>0</v>
      </c>
      <c r="I10" s="8">
        <v>14.4</v>
      </c>
      <c r="J10" s="11">
        <f t="shared" si="2"/>
        <v>26.519337016574589</v>
      </c>
      <c r="K10" s="11">
        <f t="shared" si="3"/>
        <v>220.72348252605761</v>
      </c>
    </row>
    <row r="11" spans="2:11" x14ac:dyDescent="0.2">
      <c r="B11" s="2">
        <v>8</v>
      </c>
      <c r="C11" s="3">
        <v>136.30000000000001</v>
      </c>
      <c r="E11" s="11">
        <f t="shared" si="0"/>
        <v>20.892090741876149</v>
      </c>
      <c r="F11" s="2" t="str">
        <f t="shared" si="1"/>
        <v>NO</v>
      </c>
      <c r="G11" s="2">
        <v>136.30000000000001</v>
      </c>
      <c r="H11" s="2">
        <v>0</v>
      </c>
      <c r="I11" s="8">
        <v>20.9</v>
      </c>
      <c r="J11" s="11">
        <f t="shared" si="2"/>
        <v>15.333822450476886</v>
      </c>
      <c r="K11" s="11">
        <f t="shared" si="3"/>
        <v>320.35561005518082</v>
      </c>
    </row>
    <row r="12" spans="2:11" x14ac:dyDescent="0.2">
      <c r="B12" s="2">
        <v>6.3</v>
      </c>
      <c r="C12" s="3">
        <v>147.80000000000001</v>
      </c>
      <c r="E12" s="11">
        <f t="shared" si="0"/>
        <v>22.654812998160637</v>
      </c>
      <c r="F12" s="2" t="str">
        <f t="shared" si="1"/>
        <v>NO</v>
      </c>
      <c r="G12" s="2">
        <v>68.599999999999994</v>
      </c>
      <c r="H12" s="2">
        <v>1</v>
      </c>
      <c r="I12" s="8">
        <v>9</v>
      </c>
      <c r="J12" s="11">
        <f t="shared" si="2"/>
        <v>13.119533527696795</v>
      </c>
      <c r="K12" s="11">
        <f t="shared" si="3"/>
        <v>297.22057869306963</v>
      </c>
    </row>
    <row r="13" spans="2:11" x14ac:dyDescent="0.2">
      <c r="B13" s="2">
        <v>5</v>
      </c>
      <c r="C13" s="3">
        <v>140.30000000000001</v>
      </c>
      <c r="E13" s="11">
        <f t="shared" si="0"/>
        <v>21.505211526670752</v>
      </c>
      <c r="F13" s="2" t="str">
        <f t="shared" si="1"/>
        <v>NO</v>
      </c>
      <c r="G13" s="2">
        <v>32.200000000000003</v>
      </c>
      <c r="H13" s="2">
        <v>2</v>
      </c>
      <c r="I13" s="8">
        <v>5.8</v>
      </c>
      <c r="J13" s="11">
        <f t="shared" si="2"/>
        <v>18.012422360248443</v>
      </c>
      <c r="K13" s="11">
        <f t="shared" si="3"/>
        <v>387.36095296487684</v>
      </c>
    </row>
    <row r="14" spans="2:11" x14ac:dyDescent="0.2">
      <c r="B14" s="2">
        <v>4</v>
      </c>
      <c r="C14" s="3">
        <v>107</v>
      </c>
      <c r="D14" s="3" t="s">
        <v>8</v>
      </c>
      <c r="E14" s="11">
        <f t="shared" si="0"/>
        <v>16.400980993255668</v>
      </c>
      <c r="F14" s="2" t="str">
        <f t="shared" si="1"/>
        <v>NO</v>
      </c>
      <c r="G14" s="2">
        <v>24.4</v>
      </c>
      <c r="H14" s="2">
        <v>2</v>
      </c>
      <c r="I14" s="8">
        <v>2.9</v>
      </c>
      <c r="J14" s="11">
        <f t="shared" si="2"/>
        <v>11.885245901639346</v>
      </c>
      <c r="K14" s="11">
        <f t="shared" si="3"/>
        <v>194.92969213295675</v>
      </c>
    </row>
    <row r="15" spans="2:11" x14ac:dyDescent="0.2">
      <c r="B15" s="2" t="s">
        <v>197</v>
      </c>
      <c r="C15" s="3">
        <v>30.9</v>
      </c>
      <c r="D15" s="8">
        <f>$E$5-(SUM(C8:C14))</f>
        <v>31.900000000000091</v>
      </c>
      <c r="E15" s="11">
        <f>D15/$E$5*100</f>
        <v>4.8896382587369844</v>
      </c>
      <c r="F15" s="2" t="str">
        <f t="shared" si="1"/>
        <v>SI</v>
      </c>
    </row>
    <row r="16" spans="2:11" ht="18" x14ac:dyDescent="0.3">
      <c r="J16" s="37" t="s">
        <v>66</v>
      </c>
      <c r="K16" s="55">
        <f>SUM(K8:K14)</f>
        <v>1619.854571430388</v>
      </c>
    </row>
    <row r="17" spans="2:11" x14ac:dyDescent="0.2">
      <c r="E17" s="2" t="s">
        <v>9</v>
      </c>
      <c r="F17" s="36" t="s">
        <v>58</v>
      </c>
      <c r="K17" s="2"/>
    </row>
    <row r="18" spans="2:11" ht="18" x14ac:dyDescent="0.3">
      <c r="E18" s="11">
        <f>SUM(E8:E17)</f>
        <v>100</v>
      </c>
      <c r="F18" s="36" t="s">
        <v>59</v>
      </c>
      <c r="J18" s="37" t="s">
        <v>67</v>
      </c>
      <c r="K18" s="55">
        <f>SUM(E8:E14)</f>
        <v>95.11036174126302</v>
      </c>
    </row>
    <row r="19" spans="2:11" x14ac:dyDescent="0.2">
      <c r="K19" s="2"/>
    </row>
    <row r="20" spans="2:11" x14ac:dyDescent="0.2">
      <c r="J20" s="37" t="s">
        <v>68</v>
      </c>
      <c r="K20" s="66">
        <f>K16/K18</f>
        <v>17.031315429511444</v>
      </c>
    </row>
    <row r="22" spans="2:11" ht="15.75" thickBot="1" x14ac:dyDescent="0.25"/>
    <row r="23" spans="2:11" ht="19.5" thickBot="1" x14ac:dyDescent="0.3">
      <c r="B23" s="6" t="s">
        <v>15</v>
      </c>
    </row>
    <row r="25" spans="2:11" x14ac:dyDescent="0.2">
      <c r="B25" s="4" t="s">
        <v>6</v>
      </c>
      <c r="C25" s="7">
        <v>1298.5</v>
      </c>
      <c r="D25" s="5"/>
      <c r="E25" s="5"/>
    </row>
    <row r="26" spans="2:11" x14ac:dyDescent="0.2">
      <c r="B26" s="4" t="s">
        <v>7</v>
      </c>
      <c r="C26" s="7">
        <v>1931.2</v>
      </c>
      <c r="D26" s="4" t="s">
        <v>11</v>
      </c>
      <c r="E26" s="7">
        <f>C26-C25</f>
        <v>632.70000000000005</v>
      </c>
    </row>
    <row r="28" spans="2:11" ht="21" x14ac:dyDescent="0.35">
      <c r="B28" s="10" t="s">
        <v>0</v>
      </c>
      <c r="C28" s="10" t="s">
        <v>56</v>
      </c>
      <c r="E28" s="10" t="s">
        <v>63</v>
      </c>
      <c r="F28" s="10" t="s">
        <v>57</v>
      </c>
      <c r="G28" s="10" t="s">
        <v>61</v>
      </c>
      <c r="H28" s="10" t="s">
        <v>62</v>
      </c>
      <c r="I28" s="10" t="s">
        <v>60</v>
      </c>
      <c r="J28" s="10" t="s">
        <v>64</v>
      </c>
      <c r="K28" s="10" t="s">
        <v>65</v>
      </c>
    </row>
    <row r="29" spans="2:11" x14ac:dyDescent="0.2">
      <c r="B29" s="2">
        <v>12.5</v>
      </c>
      <c r="C29" s="3">
        <v>6</v>
      </c>
      <c r="E29" s="11">
        <f t="shared" ref="E29:E35" si="4">C29/$E$26*100</f>
        <v>0.94831673779042192</v>
      </c>
      <c r="F29" s="2" t="str">
        <f>IF(E29&lt;10, "SI","NO")</f>
        <v>SI</v>
      </c>
      <c r="G29" s="75">
        <v>6</v>
      </c>
      <c r="H29" s="2">
        <v>0</v>
      </c>
      <c r="I29" s="8">
        <v>2.6</v>
      </c>
      <c r="J29" s="11">
        <f>I29/G29*100</f>
        <v>43.333333333333336</v>
      </c>
      <c r="K29" s="11">
        <f>E29*J29</f>
        <v>41.09372530425162</v>
      </c>
    </row>
    <row r="30" spans="2:11" x14ac:dyDescent="0.2">
      <c r="B30" s="2">
        <v>11.2</v>
      </c>
      <c r="C30" s="3">
        <v>40.4</v>
      </c>
      <c r="E30" s="11">
        <f t="shared" si="4"/>
        <v>6.3853327011221745</v>
      </c>
      <c r="F30" s="2" t="str">
        <f t="shared" ref="F30:F36" si="5">IF(E30&lt;10, "SI","NO")</f>
        <v>SI</v>
      </c>
      <c r="G30" s="75">
        <v>40.4</v>
      </c>
      <c r="H30" s="2">
        <v>0</v>
      </c>
      <c r="I30" s="8">
        <v>8.9</v>
      </c>
      <c r="J30" s="11">
        <f>I30/G30*100</f>
        <v>22.029702970297034</v>
      </c>
      <c r="K30" s="11">
        <f t="shared" ref="K30:K35" si="6">E30*J30</f>
        <v>140.66698277224594</v>
      </c>
    </row>
    <row r="31" spans="2:11" x14ac:dyDescent="0.2">
      <c r="B31" s="2">
        <v>10</v>
      </c>
      <c r="C31" s="3">
        <v>80.099999999999994</v>
      </c>
      <c r="E31" s="11">
        <f t="shared" si="4"/>
        <v>12.66002844950213</v>
      </c>
      <c r="F31" s="2" t="str">
        <f t="shared" si="5"/>
        <v>NO</v>
      </c>
      <c r="G31" s="75">
        <v>80.099999999999994</v>
      </c>
      <c r="H31" s="2">
        <v>0</v>
      </c>
      <c r="I31" s="8">
        <v>6</v>
      </c>
      <c r="J31" s="11">
        <f t="shared" ref="J31:J35" si="7">I31/G31*100</f>
        <v>7.4906367041198507</v>
      </c>
      <c r="K31" s="11">
        <f t="shared" si="6"/>
        <v>94.831673779042177</v>
      </c>
    </row>
    <row r="32" spans="2:11" x14ac:dyDescent="0.2">
      <c r="B32" s="2">
        <v>8</v>
      </c>
      <c r="C32" s="3">
        <v>130.80000000000001</v>
      </c>
      <c r="E32" s="11">
        <f t="shared" si="4"/>
        <v>20.6733048838312</v>
      </c>
      <c r="F32" s="2" t="str">
        <f t="shared" si="5"/>
        <v>NO</v>
      </c>
      <c r="G32" s="75">
        <v>130.80000000000001</v>
      </c>
      <c r="H32" s="2">
        <v>0</v>
      </c>
      <c r="I32" s="8">
        <v>20.3</v>
      </c>
      <c r="J32" s="11">
        <f t="shared" si="7"/>
        <v>15.519877675840979</v>
      </c>
      <c r="K32" s="11">
        <f t="shared" si="6"/>
        <v>320.84716295242612</v>
      </c>
    </row>
    <row r="33" spans="2:11" x14ac:dyDescent="0.2">
      <c r="B33" s="2">
        <v>6.3</v>
      </c>
      <c r="C33" s="3">
        <v>150.80000000000001</v>
      </c>
      <c r="E33" s="11">
        <f t="shared" si="4"/>
        <v>23.834360676465941</v>
      </c>
      <c r="F33" s="2" t="str">
        <f t="shared" si="5"/>
        <v>NO</v>
      </c>
      <c r="G33" s="75">
        <v>67.400000000000006</v>
      </c>
      <c r="H33" s="2">
        <v>1</v>
      </c>
      <c r="I33" s="8">
        <v>15.3</v>
      </c>
      <c r="J33" s="11">
        <f t="shared" si="7"/>
        <v>22.700296735905042</v>
      </c>
      <c r="K33" s="11">
        <f t="shared" si="6"/>
        <v>541.04705986636327</v>
      </c>
    </row>
    <row r="34" spans="2:11" x14ac:dyDescent="0.2">
      <c r="B34" s="2">
        <v>5</v>
      </c>
      <c r="C34" s="3">
        <v>113.5</v>
      </c>
      <c r="E34" s="11">
        <f t="shared" si="4"/>
        <v>17.938991623202149</v>
      </c>
      <c r="F34" s="2" t="str">
        <f t="shared" si="5"/>
        <v>NO</v>
      </c>
      <c r="G34" s="75">
        <v>26.7</v>
      </c>
      <c r="H34" s="2">
        <v>2</v>
      </c>
      <c r="I34" s="8">
        <v>5.2</v>
      </c>
      <c r="J34" s="11">
        <f t="shared" si="7"/>
        <v>19.475655430711612</v>
      </c>
      <c r="K34" s="11">
        <f t="shared" si="6"/>
        <v>349.37361962790703</v>
      </c>
    </row>
    <row r="35" spans="2:11" x14ac:dyDescent="0.2">
      <c r="B35" s="2">
        <v>4</v>
      </c>
      <c r="C35" s="3">
        <v>86.3</v>
      </c>
      <c r="D35" s="3" t="s">
        <v>8</v>
      </c>
      <c r="E35" s="11">
        <f t="shared" si="4"/>
        <v>13.639955745218902</v>
      </c>
      <c r="F35" s="2" t="str">
        <f t="shared" si="5"/>
        <v>NO</v>
      </c>
      <c r="G35" s="75">
        <v>20.9</v>
      </c>
      <c r="H35" s="2">
        <v>2</v>
      </c>
      <c r="I35" s="8">
        <v>3.4</v>
      </c>
      <c r="J35" s="11">
        <f t="shared" si="7"/>
        <v>16.267942583732058</v>
      </c>
      <c r="K35" s="11">
        <f t="shared" si="6"/>
        <v>221.89401690786733</v>
      </c>
    </row>
    <row r="36" spans="2:11" x14ac:dyDescent="0.2">
      <c r="B36" s="2" t="s">
        <v>12</v>
      </c>
      <c r="C36" s="3">
        <v>24.2</v>
      </c>
      <c r="D36" s="8">
        <f>$E$26-(SUM(C29:C35))</f>
        <v>24.800000000000068</v>
      </c>
      <c r="E36" s="11">
        <f>D36/$E$26*100</f>
        <v>3.9197091828670878</v>
      </c>
      <c r="F36" s="2" t="str">
        <f t="shared" si="5"/>
        <v>SI</v>
      </c>
    </row>
    <row r="37" spans="2:11" ht="18" x14ac:dyDescent="0.3">
      <c r="J37" s="37" t="s">
        <v>66</v>
      </c>
      <c r="K37" s="39">
        <f>SUM(K29:K35)</f>
        <v>1709.7542412101034</v>
      </c>
    </row>
    <row r="38" spans="2:11" x14ac:dyDescent="0.2">
      <c r="E38" s="2" t="s">
        <v>9</v>
      </c>
      <c r="F38" s="36" t="s">
        <v>58</v>
      </c>
      <c r="K38" s="2"/>
    </row>
    <row r="39" spans="2:11" ht="18" x14ac:dyDescent="0.3">
      <c r="E39" s="11">
        <f>SUM(E29:E38)</f>
        <v>100.00000000000003</v>
      </c>
      <c r="F39" s="36" t="s">
        <v>59</v>
      </c>
      <c r="J39" s="37" t="s">
        <v>67</v>
      </c>
      <c r="K39" s="39">
        <f>SUM(E29:E35)</f>
        <v>96.080290817132934</v>
      </c>
    </row>
    <row r="40" spans="2:11" x14ac:dyDescent="0.2">
      <c r="K40" s="2"/>
    </row>
    <row r="41" spans="2:11" x14ac:dyDescent="0.2">
      <c r="J41" s="37" t="s">
        <v>68</v>
      </c>
      <c r="K41" s="11">
        <f>K37/K39</f>
        <v>17.795056891160261</v>
      </c>
    </row>
    <row r="43" spans="2:11" ht="15.75" thickBot="1" x14ac:dyDescent="0.25"/>
    <row r="44" spans="2:11" ht="19.5" thickBot="1" x14ac:dyDescent="0.3">
      <c r="B44" s="6" t="s">
        <v>69</v>
      </c>
      <c r="D44" s="37" t="s">
        <v>84</v>
      </c>
      <c r="E44" s="66">
        <f>AVERAGE(K20,K41)</f>
        <v>17.413186160335854</v>
      </c>
      <c r="F44" s="40" t="s">
        <v>70</v>
      </c>
      <c r="G44" s="41" t="s">
        <v>71</v>
      </c>
    </row>
    <row r="46" spans="2:11" x14ac:dyDescent="0.2">
      <c r="F46" s="15" t="s">
        <v>72</v>
      </c>
    </row>
    <row r="47" spans="2:11" x14ac:dyDescent="0.2">
      <c r="F47" s="15" t="s">
        <v>73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6"/>
  <sheetViews>
    <sheetView workbookViewId="0">
      <selection activeCell="A26" sqref="A26:C26"/>
    </sheetView>
  </sheetViews>
  <sheetFormatPr defaultColWidth="10.76171875" defaultRowHeight="15" x14ac:dyDescent="0.2"/>
  <cols>
    <col min="6" max="6" width="15.73828125" bestFit="1" customWidth="1"/>
    <col min="8" max="8" width="21.5234375" bestFit="1" customWidth="1"/>
  </cols>
  <sheetData>
    <row r="1" spans="1:9" x14ac:dyDescent="0.2">
      <c r="A1" s="101" t="s">
        <v>269</v>
      </c>
      <c r="B1" s="102"/>
    </row>
    <row r="2" spans="1:9" x14ac:dyDescent="0.2">
      <c r="A2" s="103" t="s">
        <v>270</v>
      </c>
      <c r="B2" s="103"/>
      <c r="C2" s="103"/>
      <c r="D2" s="9">
        <v>5210.7</v>
      </c>
      <c r="E2" s="49" t="s">
        <v>271</v>
      </c>
    </row>
    <row r="3" spans="1:9" x14ac:dyDescent="0.2">
      <c r="A3" s="103" t="s">
        <v>272</v>
      </c>
      <c r="B3" s="103"/>
      <c r="C3" s="103"/>
      <c r="D3" s="9">
        <v>11967.4</v>
      </c>
      <c r="F3" s="94" t="s">
        <v>273</v>
      </c>
      <c r="G3" s="38">
        <f>(D4-D3)/(D5-D2)*100-33</f>
        <v>11.271899201476678</v>
      </c>
    </row>
    <row r="4" spans="1:9" x14ac:dyDescent="0.2">
      <c r="A4" s="103" t="s">
        <v>274</v>
      </c>
      <c r="B4" s="103"/>
      <c r="C4" s="103"/>
      <c r="D4" s="9">
        <v>14174</v>
      </c>
      <c r="E4" s="49" t="s">
        <v>275</v>
      </c>
    </row>
    <row r="5" spans="1:9" x14ac:dyDescent="0.2">
      <c r="A5" s="103" t="s">
        <v>276</v>
      </c>
      <c r="B5" s="103"/>
      <c r="C5" s="103"/>
      <c r="D5" s="9">
        <v>10194.9</v>
      </c>
      <c r="F5" s="95" t="s">
        <v>277</v>
      </c>
      <c r="G5" s="46">
        <f>D3-D2</f>
        <v>6756.7</v>
      </c>
      <c r="H5" s="94" t="s">
        <v>278</v>
      </c>
      <c r="I5" s="96">
        <f>AVERAGE(G3,G8)</f>
        <v>10.536291982241949</v>
      </c>
    </row>
    <row r="6" spans="1:9" ht="17.25" x14ac:dyDescent="0.2">
      <c r="F6" s="95" t="s">
        <v>279</v>
      </c>
      <c r="G6" s="46">
        <f>D5-D2</f>
        <v>4984.2</v>
      </c>
    </row>
    <row r="7" spans="1:9" ht="18.75" x14ac:dyDescent="0.3">
      <c r="F7" s="95" t="s">
        <v>280</v>
      </c>
      <c r="G7" s="44">
        <v>2.37</v>
      </c>
    </row>
    <row r="8" spans="1:9" x14ac:dyDescent="0.2">
      <c r="F8" s="94" t="s">
        <v>273</v>
      </c>
      <c r="G8" s="38">
        <f>67-100*G5/(G6*G7)</f>
        <v>9.8006847630072187</v>
      </c>
    </row>
    <row r="9" spans="1:9" x14ac:dyDescent="0.2">
      <c r="A9" s="101" t="s">
        <v>281</v>
      </c>
      <c r="B9" s="102"/>
    </row>
    <row r="10" spans="1:9" x14ac:dyDescent="0.2">
      <c r="A10" s="103" t="s">
        <v>270</v>
      </c>
      <c r="B10" s="103"/>
      <c r="C10" s="103"/>
      <c r="D10" s="9">
        <v>5211</v>
      </c>
      <c r="E10" s="49" t="s">
        <v>271</v>
      </c>
    </row>
    <row r="11" spans="1:9" x14ac:dyDescent="0.2">
      <c r="A11" s="103" t="s">
        <v>272</v>
      </c>
      <c r="B11" s="103"/>
      <c r="C11" s="103"/>
      <c r="D11" s="9">
        <v>11961</v>
      </c>
      <c r="F11" s="94" t="s">
        <v>273</v>
      </c>
      <c r="G11" s="38">
        <f>(D12-D11)/(D13-D10)*100-33</f>
        <v>10.882957373364391</v>
      </c>
    </row>
    <row r="12" spans="1:9" x14ac:dyDescent="0.2">
      <c r="A12" s="103" t="s">
        <v>274</v>
      </c>
      <c r="B12" s="103"/>
      <c r="C12" s="103"/>
      <c r="D12" s="9">
        <v>14147.6</v>
      </c>
      <c r="E12" s="49" t="s">
        <v>275</v>
      </c>
    </row>
    <row r="13" spans="1:9" x14ac:dyDescent="0.2">
      <c r="A13" s="103" t="s">
        <v>276</v>
      </c>
      <c r="B13" s="103"/>
      <c r="C13" s="103"/>
      <c r="D13" s="9">
        <v>10193.799999999999</v>
      </c>
      <c r="F13" s="95" t="s">
        <v>277</v>
      </c>
      <c r="G13" s="46">
        <f>D11-D10</f>
        <v>6750</v>
      </c>
      <c r="H13" s="94" t="s">
        <v>278</v>
      </c>
      <c r="I13" s="96">
        <f>AVERAGE(G11,G16)</f>
        <v>10.362153148603355</v>
      </c>
    </row>
    <row r="14" spans="1:9" ht="17.25" x14ac:dyDescent="0.2">
      <c r="F14" s="95" t="s">
        <v>279</v>
      </c>
      <c r="G14" s="46">
        <f>D13-D10</f>
        <v>4982.7999999999993</v>
      </c>
    </row>
    <row r="15" spans="1:9" ht="18.75" x14ac:dyDescent="0.3">
      <c r="F15" s="95" t="s">
        <v>280</v>
      </c>
      <c r="G15" s="44">
        <v>2.37</v>
      </c>
    </row>
    <row r="16" spans="1:9" x14ac:dyDescent="0.2">
      <c r="F16" s="94" t="s">
        <v>273</v>
      </c>
      <c r="G16" s="38">
        <f>67-100*G13/(G14*G15)</f>
        <v>9.8413489238423182</v>
      </c>
    </row>
    <row r="17" spans="1:9" x14ac:dyDescent="0.2">
      <c r="A17" s="101" t="s">
        <v>282</v>
      </c>
      <c r="B17" s="102"/>
    </row>
    <row r="18" spans="1:9" x14ac:dyDescent="0.2">
      <c r="A18" s="103" t="s">
        <v>270</v>
      </c>
      <c r="B18" s="103"/>
      <c r="C18" s="103"/>
      <c r="D18" s="9">
        <v>5212.2</v>
      </c>
      <c r="E18" s="49" t="s">
        <v>271</v>
      </c>
    </row>
    <row r="19" spans="1:9" x14ac:dyDescent="0.2">
      <c r="A19" s="103" t="s">
        <v>272</v>
      </c>
      <c r="B19" s="103"/>
      <c r="C19" s="103"/>
      <c r="D19" s="9">
        <v>11996.2</v>
      </c>
      <c r="F19" s="94" t="s">
        <v>273</v>
      </c>
      <c r="G19" s="38">
        <f>(D20-D19)/(D21-D18)*100-33</f>
        <v>11.280783432332612</v>
      </c>
    </row>
    <row r="20" spans="1:9" x14ac:dyDescent="0.2">
      <c r="A20" s="103" t="s">
        <v>274</v>
      </c>
      <c r="B20" s="103"/>
      <c r="C20" s="103"/>
      <c r="D20" s="9">
        <v>14202.8</v>
      </c>
      <c r="E20" s="49" t="s">
        <v>275</v>
      </c>
    </row>
    <row r="21" spans="1:9" x14ac:dyDescent="0.2">
      <c r="A21" s="103" t="s">
        <v>276</v>
      </c>
      <c r="B21" s="103"/>
      <c r="C21" s="103"/>
      <c r="D21" s="9">
        <v>10195.4</v>
      </c>
      <c r="F21" s="95" t="s">
        <v>277</v>
      </c>
      <c r="G21" s="46">
        <f>D19-D18</f>
        <v>6784.0000000000009</v>
      </c>
      <c r="H21" s="94" t="s">
        <v>278</v>
      </c>
      <c r="I21" s="96">
        <f>AVERAGE(G19,G24)</f>
        <v>10.419416666158611</v>
      </c>
    </row>
    <row r="22" spans="1:9" ht="17.25" x14ac:dyDescent="0.2">
      <c r="F22" s="95" t="s">
        <v>279</v>
      </c>
      <c r="G22" s="46">
        <f>D21-D18</f>
        <v>4983.2</v>
      </c>
    </row>
    <row r="23" spans="1:9" ht="18.75" x14ac:dyDescent="0.3">
      <c r="F23" s="95" t="s">
        <v>280</v>
      </c>
      <c r="G23" s="44">
        <v>2.37</v>
      </c>
    </row>
    <row r="24" spans="1:9" x14ac:dyDescent="0.2">
      <c r="F24" s="94" t="s">
        <v>273</v>
      </c>
      <c r="G24" s="38">
        <f>67-100*G21/(G22*G23)</f>
        <v>9.55804989998461</v>
      </c>
    </row>
    <row r="26" spans="1:9" x14ac:dyDescent="0.2">
      <c r="A26" s="104" t="s">
        <v>283</v>
      </c>
      <c r="B26" s="105"/>
      <c r="C26" s="106"/>
      <c r="D26" s="97">
        <f>AVERAGE(I5,I13,I21)</f>
        <v>10.439287265667971</v>
      </c>
    </row>
  </sheetData>
  <mergeCells count="16">
    <mergeCell ref="A18:C18"/>
    <mergeCell ref="A19:C19"/>
    <mergeCell ref="A20:C20"/>
    <mergeCell ref="A21:C21"/>
    <mergeCell ref="A26:C26"/>
    <mergeCell ref="A17:B17"/>
    <mergeCell ref="A1:B1"/>
    <mergeCell ref="A2:C2"/>
    <mergeCell ref="A3:C3"/>
    <mergeCell ref="A4:C4"/>
    <mergeCell ref="A5:C5"/>
    <mergeCell ref="A9:B9"/>
    <mergeCell ref="A10:C10"/>
    <mergeCell ref="A11:C11"/>
    <mergeCell ref="A12:C12"/>
    <mergeCell ref="A13:C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W41"/>
  <sheetViews>
    <sheetView topLeftCell="A10" workbookViewId="0">
      <selection activeCell="D32" sqref="D32:H32"/>
    </sheetView>
  </sheetViews>
  <sheetFormatPr defaultColWidth="10.76171875" defaultRowHeight="15" x14ac:dyDescent="0.2"/>
  <cols>
    <col min="2" max="2" width="11.703125" bestFit="1" customWidth="1"/>
    <col min="3" max="3" width="21.38671875" bestFit="1" customWidth="1"/>
    <col min="4" max="23" width="2.015625" bestFit="1" customWidth="1"/>
  </cols>
  <sheetData>
    <row r="1" spans="2:21" ht="15.75" thickBot="1" x14ac:dyDescent="0.25"/>
    <row r="2" spans="2:21" ht="19.5" thickBot="1" x14ac:dyDescent="0.3">
      <c r="B2" s="6" t="s">
        <v>5</v>
      </c>
      <c r="C2" s="89" t="s">
        <v>245</v>
      </c>
    </row>
    <row r="4" spans="2:21" ht="17.25" x14ac:dyDescent="0.2">
      <c r="C4" s="90" t="s">
        <v>246</v>
      </c>
    </row>
    <row r="5" spans="2:21" x14ac:dyDescent="0.2">
      <c r="D5">
        <v>2</v>
      </c>
      <c r="E5">
        <v>2</v>
      </c>
      <c r="F5">
        <v>3</v>
      </c>
      <c r="G5">
        <v>1</v>
      </c>
      <c r="H5">
        <v>2</v>
      </c>
      <c r="I5">
        <v>5</v>
      </c>
      <c r="J5">
        <v>2</v>
      </c>
      <c r="K5">
        <v>1</v>
      </c>
      <c r="L5">
        <v>2</v>
      </c>
      <c r="M5">
        <v>2</v>
      </c>
      <c r="N5">
        <v>1</v>
      </c>
      <c r="O5">
        <v>1</v>
      </c>
      <c r="P5">
        <v>2</v>
      </c>
      <c r="Q5">
        <v>1</v>
      </c>
      <c r="R5">
        <v>1</v>
      </c>
      <c r="S5">
        <v>2</v>
      </c>
      <c r="T5">
        <v>1</v>
      </c>
      <c r="U5">
        <v>2</v>
      </c>
    </row>
    <row r="6" spans="2:21" x14ac:dyDescent="0.2">
      <c r="D6">
        <v>2</v>
      </c>
      <c r="E6">
        <v>2</v>
      </c>
      <c r="F6">
        <v>1</v>
      </c>
      <c r="G6">
        <v>2</v>
      </c>
      <c r="H6">
        <v>1</v>
      </c>
      <c r="I6">
        <v>2</v>
      </c>
      <c r="J6">
        <v>1</v>
      </c>
      <c r="K6">
        <v>1</v>
      </c>
      <c r="L6">
        <v>1</v>
      </c>
      <c r="M6">
        <v>1</v>
      </c>
      <c r="N6">
        <v>1</v>
      </c>
      <c r="O6">
        <v>1</v>
      </c>
      <c r="P6">
        <v>1</v>
      </c>
      <c r="Q6">
        <v>1</v>
      </c>
      <c r="R6">
        <v>1</v>
      </c>
      <c r="S6">
        <v>1</v>
      </c>
      <c r="T6">
        <v>1</v>
      </c>
    </row>
    <row r="7" spans="2:21" ht="17.25" x14ac:dyDescent="0.2">
      <c r="C7" s="90" t="s">
        <v>247</v>
      </c>
      <c r="D7" s="109">
        <f>SUM(D5:U6)</f>
        <v>54</v>
      </c>
      <c r="E7" s="110"/>
      <c r="F7" s="110"/>
      <c r="G7" s="110"/>
      <c r="H7" s="111"/>
    </row>
    <row r="9" spans="2:21" ht="17.25" x14ac:dyDescent="0.2">
      <c r="C9" s="59" t="s">
        <v>248</v>
      </c>
      <c r="D9" s="107">
        <v>45</v>
      </c>
      <c r="E9" s="107"/>
      <c r="F9" s="107"/>
      <c r="G9" s="107"/>
      <c r="H9" s="107"/>
    </row>
    <row r="10" spans="2:21" ht="17.25" x14ac:dyDescent="0.2">
      <c r="C10" s="59" t="s">
        <v>248</v>
      </c>
      <c r="D10" s="108">
        <v>56</v>
      </c>
      <c r="E10" s="107"/>
      <c r="F10" s="107"/>
      <c r="G10" s="107"/>
      <c r="H10" s="107"/>
    </row>
    <row r="11" spans="2:21" ht="17.25" x14ac:dyDescent="0.2">
      <c r="C11" s="59" t="s">
        <v>249</v>
      </c>
      <c r="D11" s="109">
        <f>D10-D9</f>
        <v>11</v>
      </c>
      <c r="E11" s="110"/>
      <c r="F11" s="110"/>
      <c r="G11" s="110"/>
      <c r="H11" s="111"/>
    </row>
    <row r="13" spans="2:21" x14ac:dyDescent="0.2">
      <c r="C13" s="91" t="s">
        <v>250</v>
      </c>
      <c r="D13" s="112">
        <f>D11/D7</f>
        <v>0.20370370370370369</v>
      </c>
      <c r="E13" s="113"/>
      <c r="F13" s="113"/>
      <c r="G13" s="113"/>
      <c r="H13" s="114"/>
    </row>
    <row r="15" spans="2:21" ht="15.75" thickBot="1" x14ac:dyDescent="0.25"/>
    <row r="16" spans="2:21" ht="19.5" thickBot="1" x14ac:dyDescent="0.3">
      <c r="B16" s="6" t="s">
        <v>5</v>
      </c>
      <c r="C16" s="89" t="s">
        <v>251</v>
      </c>
    </row>
    <row r="18" spans="2:23" ht="17.25" x14ac:dyDescent="0.2">
      <c r="C18" s="90" t="s">
        <v>246</v>
      </c>
    </row>
    <row r="19" spans="2:23" x14ac:dyDescent="0.2">
      <c r="D19">
        <v>3</v>
      </c>
      <c r="E19">
        <v>1</v>
      </c>
      <c r="F19">
        <v>2</v>
      </c>
      <c r="G19">
        <v>5</v>
      </c>
      <c r="H19">
        <v>3</v>
      </c>
      <c r="I19">
        <v>2</v>
      </c>
      <c r="J19">
        <v>2</v>
      </c>
      <c r="K19">
        <v>2</v>
      </c>
      <c r="L19">
        <v>1</v>
      </c>
      <c r="M19">
        <v>2</v>
      </c>
      <c r="N19">
        <v>5</v>
      </c>
      <c r="O19">
        <v>2</v>
      </c>
      <c r="P19">
        <v>1</v>
      </c>
      <c r="Q19">
        <v>2</v>
      </c>
      <c r="R19">
        <v>1</v>
      </c>
      <c r="S19">
        <v>2</v>
      </c>
      <c r="T19">
        <v>2</v>
      </c>
      <c r="U19">
        <v>2</v>
      </c>
      <c r="V19">
        <v>1</v>
      </c>
      <c r="W19">
        <v>1</v>
      </c>
    </row>
    <row r="20" spans="2:23" x14ac:dyDescent="0.2">
      <c r="D20">
        <v>1</v>
      </c>
      <c r="E20">
        <v>1</v>
      </c>
      <c r="F20">
        <v>1</v>
      </c>
      <c r="G20">
        <v>1</v>
      </c>
      <c r="H20">
        <v>1</v>
      </c>
      <c r="I20">
        <v>1</v>
      </c>
      <c r="J20">
        <v>2</v>
      </c>
      <c r="K20">
        <v>1</v>
      </c>
      <c r="L20">
        <v>1</v>
      </c>
      <c r="M20">
        <v>1</v>
      </c>
      <c r="N20">
        <v>1</v>
      </c>
      <c r="O20">
        <v>1</v>
      </c>
      <c r="P20">
        <v>1</v>
      </c>
      <c r="Q20">
        <v>1</v>
      </c>
      <c r="R20">
        <v>1</v>
      </c>
      <c r="S20">
        <v>1</v>
      </c>
      <c r="T20">
        <v>1</v>
      </c>
      <c r="U20">
        <v>1</v>
      </c>
      <c r="V20">
        <v>1</v>
      </c>
    </row>
    <row r="21" spans="2:23" ht="17.25" x14ac:dyDescent="0.2">
      <c r="C21" s="90" t="s">
        <v>247</v>
      </c>
      <c r="D21" s="109">
        <f>SUM(D19:W20)</f>
        <v>62</v>
      </c>
      <c r="E21" s="110"/>
      <c r="F21" s="110"/>
      <c r="G21" s="110"/>
      <c r="H21" s="111"/>
    </row>
    <row r="23" spans="2:23" ht="17.25" x14ac:dyDescent="0.2">
      <c r="C23" s="59" t="s">
        <v>248</v>
      </c>
      <c r="D23" s="107">
        <v>45</v>
      </c>
      <c r="E23" s="107"/>
      <c r="F23" s="107"/>
      <c r="G23" s="107"/>
      <c r="H23" s="107"/>
    </row>
    <row r="24" spans="2:23" ht="17.25" x14ac:dyDescent="0.2">
      <c r="C24" s="59" t="s">
        <v>248</v>
      </c>
      <c r="D24" s="108">
        <v>57.5</v>
      </c>
      <c r="E24" s="107"/>
      <c r="F24" s="107"/>
      <c r="G24" s="107"/>
      <c r="H24" s="107"/>
    </row>
    <row r="25" spans="2:23" ht="17.25" x14ac:dyDescent="0.2">
      <c r="C25" s="59" t="s">
        <v>249</v>
      </c>
      <c r="D25" s="109">
        <f>D24-D23</f>
        <v>12.5</v>
      </c>
      <c r="E25" s="110"/>
      <c r="F25" s="110"/>
      <c r="G25" s="110"/>
      <c r="H25" s="111"/>
    </row>
    <row r="27" spans="2:23" x14ac:dyDescent="0.2">
      <c r="C27" s="91" t="s">
        <v>250</v>
      </c>
      <c r="D27" s="112">
        <f>D25/D21</f>
        <v>0.20161290322580644</v>
      </c>
      <c r="E27" s="113"/>
      <c r="F27" s="113"/>
      <c r="G27" s="113"/>
      <c r="H27" s="114"/>
    </row>
    <row r="29" spans="2:23" ht="15.75" thickBot="1" x14ac:dyDescent="0.25"/>
    <row r="30" spans="2:23" ht="19.5" thickBot="1" x14ac:dyDescent="0.3">
      <c r="B30" s="6" t="s">
        <v>69</v>
      </c>
    </row>
    <row r="32" spans="2:23" x14ac:dyDescent="0.2">
      <c r="C32" s="91" t="s">
        <v>250</v>
      </c>
      <c r="D32" s="115">
        <f>AVERAGE(D13,D27)</f>
        <v>0.20265830346475505</v>
      </c>
      <c r="E32" s="116"/>
      <c r="F32" s="116"/>
      <c r="G32" s="116"/>
      <c r="H32" s="116"/>
    </row>
    <row r="41" spans="3:3" x14ac:dyDescent="0.2">
      <c r="C41" s="88">
        <f>SUM(C5:C39)</f>
        <v>0</v>
      </c>
    </row>
  </sheetData>
  <mergeCells count="11">
    <mergeCell ref="D21:H21"/>
    <mergeCell ref="D7:H7"/>
    <mergeCell ref="D9:H9"/>
    <mergeCell ref="D10:H10"/>
    <mergeCell ref="D11:H11"/>
    <mergeCell ref="D13:H13"/>
    <mergeCell ref="D23:H23"/>
    <mergeCell ref="D24:H24"/>
    <mergeCell ref="D25:H25"/>
    <mergeCell ref="D27:H27"/>
    <mergeCell ref="D32:H32"/>
  </mergeCells>
  <pageMargins left="0.7" right="0.7" top="0.75" bottom="0.75" header="0.3" footer="0.3"/>
  <pageSetup paperSize="9" orientation="portrait" horizontalDpi="4294967292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6"/>
  <dimension ref="B1:Y56"/>
  <sheetViews>
    <sheetView topLeftCell="A37" workbookViewId="0">
      <selection activeCell="F50" sqref="F50"/>
    </sheetView>
  </sheetViews>
  <sheetFormatPr defaultColWidth="10.76171875" defaultRowHeight="15" x14ac:dyDescent="0.2"/>
  <cols>
    <col min="2" max="2" width="18.6953125" bestFit="1" customWidth="1"/>
    <col min="3" max="3" width="19.1015625" bestFit="1" customWidth="1"/>
    <col min="4" max="4" width="26.09765625" bestFit="1" customWidth="1"/>
    <col min="5" max="5" width="33.62890625" bestFit="1" customWidth="1"/>
    <col min="6" max="6" width="23" bestFit="1" customWidth="1"/>
    <col min="7" max="7" width="36.05078125" bestFit="1" customWidth="1"/>
    <col min="8" max="8" width="18.83203125" bestFit="1" customWidth="1"/>
    <col min="9" max="9" width="34.70703125" bestFit="1" customWidth="1"/>
    <col min="10" max="10" width="38.60546875" bestFit="1" customWidth="1"/>
    <col min="11" max="11" width="48.29296875" bestFit="1" customWidth="1"/>
    <col min="12" max="12" width="52.1953125" bestFit="1" customWidth="1"/>
    <col min="13" max="13" width="40.89453125" bestFit="1" customWidth="1"/>
    <col min="14" max="14" width="43.8515625" bestFit="1" customWidth="1"/>
    <col min="15" max="15" width="53.26953125" bestFit="1" customWidth="1"/>
    <col min="16" max="16" width="57.171875" bestFit="1" customWidth="1"/>
    <col min="17" max="20" width="11.703125" customWidth="1"/>
    <col min="21" max="21" width="22.734375" bestFit="1" customWidth="1"/>
    <col min="23" max="23" width="58.3828125" bestFit="1" customWidth="1"/>
  </cols>
  <sheetData>
    <row r="1" spans="2:22" ht="15.75" thickBot="1" x14ac:dyDescent="0.25"/>
    <row r="2" spans="2:22" ht="19.5" thickBot="1" x14ac:dyDescent="0.3">
      <c r="B2" s="6" t="s">
        <v>5</v>
      </c>
    </row>
    <row r="4" spans="2:22" x14ac:dyDescent="0.2">
      <c r="B4" s="4" t="s">
        <v>6</v>
      </c>
      <c r="C4" s="7">
        <v>1298.5</v>
      </c>
      <c r="D4" s="5"/>
      <c r="E4" s="5"/>
    </row>
    <row r="5" spans="2:22" x14ac:dyDescent="0.2">
      <c r="B5" s="4" t="s">
        <v>7</v>
      </c>
      <c r="C5" s="7">
        <v>1931.2</v>
      </c>
      <c r="D5" s="4" t="s">
        <v>11</v>
      </c>
      <c r="E5" s="7">
        <f>C5-C4</f>
        <v>632.70000000000005</v>
      </c>
    </row>
    <row r="7" spans="2:22" ht="21" x14ac:dyDescent="0.35">
      <c r="B7" s="10" t="s">
        <v>0</v>
      </c>
      <c r="C7" s="10" t="s">
        <v>56</v>
      </c>
      <c r="E7" s="10" t="s">
        <v>63</v>
      </c>
      <c r="F7" s="10" t="s">
        <v>57</v>
      </c>
      <c r="G7" s="10" t="s">
        <v>198</v>
      </c>
      <c r="H7" s="10" t="s">
        <v>62</v>
      </c>
      <c r="I7" s="10" t="s">
        <v>199</v>
      </c>
      <c r="J7" s="10" t="s">
        <v>200</v>
      </c>
      <c r="K7" s="10" t="s">
        <v>201</v>
      </c>
      <c r="L7" s="10" t="s">
        <v>202</v>
      </c>
      <c r="M7" s="10" t="s">
        <v>203</v>
      </c>
      <c r="N7" s="10" t="s">
        <v>204</v>
      </c>
      <c r="O7" s="10" t="s">
        <v>205</v>
      </c>
      <c r="P7" s="10" t="s">
        <v>206</v>
      </c>
      <c r="Q7" s="77" t="s">
        <v>207</v>
      </c>
      <c r="R7" s="77" t="s">
        <v>208</v>
      </c>
      <c r="S7" s="77" t="s">
        <v>209</v>
      </c>
      <c r="T7" s="77" t="s">
        <v>210</v>
      </c>
    </row>
    <row r="8" spans="2:22" x14ac:dyDescent="0.2">
      <c r="B8" s="57">
        <v>12.5</v>
      </c>
      <c r="C8" s="3">
        <v>6</v>
      </c>
      <c r="E8" s="11">
        <f>C8/$E$5*100</f>
        <v>0.94831673779042192</v>
      </c>
      <c r="F8" s="57" t="str">
        <f>IF(E8&lt;10, "SI","NO")</f>
        <v>SI</v>
      </c>
      <c r="G8" s="3">
        <v>6</v>
      </c>
      <c r="H8" s="57">
        <v>0</v>
      </c>
      <c r="I8" s="8">
        <v>6</v>
      </c>
      <c r="J8" s="8">
        <v>0</v>
      </c>
      <c r="K8" s="8">
        <v>3.3</v>
      </c>
      <c r="L8" s="8">
        <v>0</v>
      </c>
      <c r="M8" s="39">
        <f>I8/G8*100</f>
        <v>100</v>
      </c>
      <c r="N8" s="39">
        <f>J8/G8*100</f>
        <v>0</v>
      </c>
      <c r="O8" s="39">
        <f>K8/G8*100</f>
        <v>54.999999999999993</v>
      </c>
      <c r="P8" s="39">
        <f>L8/G8*100</f>
        <v>0</v>
      </c>
      <c r="Q8" s="39">
        <f>E8*M8</f>
        <v>94.831673779042191</v>
      </c>
      <c r="R8" s="39">
        <f>E8*N8</f>
        <v>0</v>
      </c>
      <c r="S8" s="39">
        <f>E8*O8</f>
        <v>52.1574205784732</v>
      </c>
      <c r="T8" s="39">
        <f>E8*P8</f>
        <v>0</v>
      </c>
    </row>
    <row r="9" spans="2:22" x14ac:dyDescent="0.2">
      <c r="B9" s="57">
        <v>11.2</v>
      </c>
      <c r="C9" s="3">
        <v>40.4</v>
      </c>
      <c r="E9" s="11">
        <f t="shared" ref="E9:E14" si="0">C9/$E$5*100</f>
        <v>6.3853327011221745</v>
      </c>
      <c r="F9" s="57" t="str">
        <f t="shared" ref="F9:F15" si="1">IF(E9&lt;10, "SI","NO")</f>
        <v>SI</v>
      </c>
      <c r="G9" s="3">
        <v>40.4</v>
      </c>
      <c r="H9" s="57">
        <v>0</v>
      </c>
      <c r="I9" s="8">
        <v>24.4</v>
      </c>
      <c r="J9" s="8">
        <v>16</v>
      </c>
      <c r="K9" s="8">
        <v>11.9</v>
      </c>
      <c r="L9" s="8">
        <v>3</v>
      </c>
      <c r="M9" s="39">
        <f t="shared" ref="M9:M14" si="2">I9/G9*100</f>
        <v>60.396039603960396</v>
      </c>
      <c r="N9" s="39">
        <f t="shared" ref="N9:N14" si="3">J9/G9*100</f>
        <v>39.603960396039604</v>
      </c>
      <c r="O9" s="39">
        <f t="shared" ref="O9:O14" si="4">K9/G9*100</f>
        <v>29.455445544554458</v>
      </c>
      <c r="P9" s="39">
        <f t="shared" ref="P9:P14" si="5">L9/G9*100</f>
        <v>7.4257425742574252</v>
      </c>
      <c r="Q9" s="39">
        <f t="shared" ref="Q9:Q14" si="6">E9*M9</f>
        <v>385.64880670143828</v>
      </c>
      <c r="R9" s="39">
        <f t="shared" ref="R9:R14" si="7">E9*N9</f>
        <v>252.88446341077918</v>
      </c>
      <c r="S9" s="39">
        <f t="shared" ref="S9:S14" si="8">E9*O9</f>
        <v>188.08281966176705</v>
      </c>
      <c r="T9" s="39">
        <f t="shared" ref="T9:T14" si="9">E9*P9</f>
        <v>47.415836889521096</v>
      </c>
    </row>
    <row r="10" spans="2:22" x14ac:dyDescent="0.2">
      <c r="B10" s="57">
        <v>10</v>
      </c>
      <c r="C10" s="3">
        <v>80.099999999999994</v>
      </c>
      <c r="E10" s="11">
        <f t="shared" si="0"/>
        <v>12.66002844950213</v>
      </c>
      <c r="F10" s="57" t="str">
        <f t="shared" si="1"/>
        <v>NO</v>
      </c>
      <c r="G10" s="3">
        <v>80.099999999999994</v>
      </c>
      <c r="H10" s="57">
        <v>0</v>
      </c>
      <c r="I10" s="8">
        <v>50.3</v>
      </c>
      <c r="J10" s="8">
        <v>29.8</v>
      </c>
      <c r="K10" s="8">
        <v>23.9</v>
      </c>
      <c r="L10" s="8">
        <v>7.5</v>
      </c>
      <c r="M10" s="39">
        <f t="shared" si="2"/>
        <v>62.796504369538077</v>
      </c>
      <c r="N10" s="39">
        <f t="shared" si="3"/>
        <v>37.203495630461923</v>
      </c>
      <c r="O10" s="39">
        <f t="shared" si="4"/>
        <v>29.837702871410738</v>
      </c>
      <c r="P10" s="39">
        <f t="shared" si="5"/>
        <v>9.3632958801498134</v>
      </c>
      <c r="Q10" s="39">
        <f t="shared" si="6"/>
        <v>795.00553184763692</v>
      </c>
      <c r="R10" s="39">
        <f t="shared" si="7"/>
        <v>470.99731310257613</v>
      </c>
      <c r="S10" s="39">
        <f t="shared" si="8"/>
        <v>377.74616721985132</v>
      </c>
      <c r="T10" s="39">
        <f t="shared" si="9"/>
        <v>118.53959222380273</v>
      </c>
    </row>
    <row r="11" spans="2:22" x14ac:dyDescent="0.2">
      <c r="B11" s="57">
        <v>8</v>
      </c>
      <c r="C11" s="3">
        <v>130.80000000000001</v>
      </c>
      <c r="E11" s="11">
        <f t="shared" si="0"/>
        <v>20.6733048838312</v>
      </c>
      <c r="F11" s="57" t="str">
        <f t="shared" si="1"/>
        <v>NO</v>
      </c>
      <c r="G11" s="3">
        <v>130.80000000000001</v>
      </c>
      <c r="H11" s="57">
        <v>0</v>
      </c>
      <c r="I11" s="8">
        <v>92.6</v>
      </c>
      <c r="J11" s="8">
        <v>38.200000000000003</v>
      </c>
      <c r="K11" s="8">
        <v>60.4</v>
      </c>
      <c r="L11" s="8">
        <v>5.4</v>
      </c>
      <c r="M11" s="39">
        <f t="shared" si="2"/>
        <v>70.795107033639141</v>
      </c>
      <c r="N11" s="39">
        <f t="shared" si="3"/>
        <v>29.204892966360855</v>
      </c>
      <c r="O11" s="39">
        <f t="shared" si="4"/>
        <v>46.177370030581031</v>
      </c>
      <c r="P11" s="39">
        <f t="shared" si="5"/>
        <v>4.1284403669724776</v>
      </c>
      <c r="Q11" s="39">
        <f t="shared" si="6"/>
        <v>1463.5688319898845</v>
      </c>
      <c r="R11" s="39">
        <f t="shared" si="7"/>
        <v>603.76165639323528</v>
      </c>
      <c r="S11" s="39">
        <f t="shared" si="8"/>
        <v>954.63884937569128</v>
      </c>
      <c r="T11" s="39">
        <f t="shared" si="9"/>
        <v>85.348506401137996</v>
      </c>
    </row>
    <row r="12" spans="2:22" x14ac:dyDescent="0.2">
      <c r="B12" s="57">
        <v>6.3</v>
      </c>
      <c r="C12" s="3">
        <v>150.80000000000001</v>
      </c>
      <c r="E12" s="11">
        <f t="shared" si="0"/>
        <v>23.834360676465941</v>
      </c>
      <c r="F12" s="57" t="str">
        <f t="shared" si="1"/>
        <v>NO</v>
      </c>
      <c r="G12" s="3">
        <v>67.400000000000006</v>
      </c>
      <c r="H12" s="57">
        <v>1</v>
      </c>
      <c r="I12" s="8">
        <v>50.8</v>
      </c>
      <c r="J12" s="8">
        <v>16.600000000000001</v>
      </c>
      <c r="K12" s="8">
        <v>41.4</v>
      </c>
      <c r="L12" s="8">
        <v>2.9</v>
      </c>
      <c r="M12" s="39">
        <f t="shared" si="2"/>
        <v>75.370919881305625</v>
      </c>
      <c r="N12" s="39">
        <f t="shared" si="3"/>
        <v>24.629080118694365</v>
      </c>
      <c r="O12" s="39">
        <f t="shared" si="4"/>
        <v>61.424332344213639</v>
      </c>
      <c r="P12" s="39">
        <f t="shared" si="5"/>
        <v>4.3026706231454002</v>
      </c>
      <c r="Q12" s="39">
        <f t="shared" si="6"/>
        <v>1796.4176889680557</v>
      </c>
      <c r="R12" s="39">
        <f t="shared" si="7"/>
        <v>587.01837867853806</v>
      </c>
      <c r="S12" s="39">
        <f t="shared" si="8"/>
        <v>1464.0096914031005</v>
      </c>
      <c r="T12" s="39">
        <f t="shared" si="9"/>
        <v>102.55140350408193</v>
      </c>
    </row>
    <row r="13" spans="2:22" x14ac:dyDescent="0.2">
      <c r="B13" s="57">
        <v>5</v>
      </c>
      <c r="C13" s="3">
        <v>113.5</v>
      </c>
      <c r="E13" s="11">
        <f t="shared" si="0"/>
        <v>17.938991623202149</v>
      </c>
      <c r="F13" s="57" t="str">
        <f t="shared" si="1"/>
        <v>NO</v>
      </c>
      <c r="G13" s="3">
        <v>26.7</v>
      </c>
      <c r="H13" s="57">
        <v>2</v>
      </c>
      <c r="I13" s="8">
        <v>23.6</v>
      </c>
      <c r="J13" s="8">
        <v>3.1</v>
      </c>
      <c r="K13" s="8">
        <v>16.600000000000001</v>
      </c>
      <c r="L13" s="8">
        <v>1.6</v>
      </c>
      <c r="M13" s="39">
        <f t="shared" si="2"/>
        <v>88.389513108614238</v>
      </c>
      <c r="N13" s="39">
        <f t="shared" si="3"/>
        <v>11.610486891385769</v>
      </c>
      <c r="O13" s="39">
        <f t="shared" si="4"/>
        <v>62.172284644194761</v>
      </c>
      <c r="P13" s="39">
        <f t="shared" si="5"/>
        <v>5.9925093632958806</v>
      </c>
      <c r="Q13" s="39">
        <f t="shared" si="6"/>
        <v>1585.6187352343475</v>
      </c>
      <c r="R13" s="39">
        <f t="shared" si="7"/>
        <v>208.28042708586767</v>
      </c>
      <c r="S13" s="39">
        <f t="shared" si="8"/>
        <v>1115.3080934275495</v>
      </c>
      <c r="T13" s="39">
        <f t="shared" si="9"/>
        <v>107.49957527012525</v>
      </c>
    </row>
    <row r="14" spans="2:22" x14ac:dyDescent="0.2">
      <c r="B14" s="57">
        <v>4</v>
      </c>
      <c r="C14" s="3">
        <v>86.3</v>
      </c>
      <c r="D14" s="3" t="s">
        <v>8</v>
      </c>
      <c r="E14" s="11">
        <f t="shared" si="0"/>
        <v>13.639955745218902</v>
      </c>
      <c r="F14" s="57" t="str">
        <f t="shared" si="1"/>
        <v>NO</v>
      </c>
      <c r="G14" s="3">
        <v>20.9</v>
      </c>
      <c r="H14" s="57">
        <v>2</v>
      </c>
      <c r="I14" s="8">
        <v>19.100000000000001</v>
      </c>
      <c r="J14" s="8">
        <v>1.8</v>
      </c>
      <c r="K14" s="8">
        <v>15.6</v>
      </c>
      <c r="L14" s="8">
        <v>0.9</v>
      </c>
      <c r="M14" s="39">
        <f t="shared" si="2"/>
        <v>91.387559808612451</v>
      </c>
      <c r="N14" s="39">
        <f t="shared" si="3"/>
        <v>8.6124401913875595</v>
      </c>
      <c r="O14" s="39">
        <f t="shared" si="4"/>
        <v>74.641148325358856</v>
      </c>
      <c r="P14" s="39">
        <f t="shared" si="5"/>
        <v>4.3062200956937797</v>
      </c>
      <c r="Q14" s="39">
        <f t="shared" si="6"/>
        <v>1246.5222714530194</v>
      </c>
      <c r="R14" s="39">
        <f t="shared" si="7"/>
        <v>117.47330306887092</v>
      </c>
      <c r="S14" s="39">
        <f t="shared" si="8"/>
        <v>1018.1019599302148</v>
      </c>
      <c r="T14" s="39">
        <f t="shared" si="9"/>
        <v>58.73665153443546</v>
      </c>
    </row>
    <row r="15" spans="2:22" ht="18" x14ac:dyDescent="0.3">
      <c r="B15" s="57" t="s">
        <v>197</v>
      </c>
      <c r="C15" s="3">
        <v>22.8</v>
      </c>
      <c r="D15" s="8">
        <f>$E$5-(SUM(C8:C14))</f>
        <v>24.800000000000068</v>
      </c>
      <c r="E15" s="11">
        <f>D15/$E$5*100</f>
        <v>3.9197091828670878</v>
      </c>
      <c r="F15" s="57" t="str">
        <f t="shared" si="1"/>
        <v>SI</v>
      </c>
      <c r="O15" s="39"/>
      <c r="P15" s="8"/>
      <c r="Q15" s="11"/>
      <c r="R15" s="11"/>
      <c r="S15" s="11"/>
      <c r="T15" s="11"/>
      <c r="U15" s="37" t="s">
        <v>67</v>
      </c>
      <c r="V15" s="39">
        <f>SUM(E8:E14)</f>
        <v>96.080290817132934</v>
      </c>
    </row>
    <row r="16" spans="2:22" x14ac:dyDescent="0.2">
      <c r="P16" s="8"/>
      <c r="V16" s="57"/>
    </row>
    <row r="17" spans="2:25" ht="18" x14ac:dyDescent="0.3">
      <c r="E17" s="57" t="s">
        <v>9</v>
      </c>
      <c r="F17" s="36" t="s">
        <v>58</v>
      </c>
      <c r="P17" s="8"/>
      <c r="U17" s="37" t="s">
        <v>211</v>
      </c>
      <c r="V17" s="39">
        <f>SUM(Q8:Q14)</f>
        <v>7367.6135399734248</v>
      </c>
      <c r="W17" s="37" t="s">
        <v>212</v>
      </c>
      <c r="X17" s="66">
        <f>V17/$V$15</f>
        <v>76.68184054517495</v>
      </c>
      <c r="Y17" s="78"/>
    </row>
    <row r="18" spans="2:25" x14ac:dyDescent="0.2">
      <c r="E18" s="11">
        <f>SUM(E8:E17)</f>
        <v>100.00000000000003</v>
      </c>
      <c r="F18" s="36" t="s">
        <v>59</v>
      </c>
      <c r="V18" s="57"/>
    </row>
    <row r="19" spans="2:25" ht="18" x14ac:dyDescent="0.3">
      <c r="U19" s="37" t="s">
        <v>213</v>
      </c>
      <c r="V19" s="39">
        <f>SUM(R8:R14)</f>
        <v>2240.415541739867</v>
      </c>
      <c r="W19" s="37" t="s">
        <v>217</v>
      </c>
      <c r="X19" s="66">
        <f>V19/$V$15</f>
        <v>23.318159454825032</v>
      </c>
    </row>
    <row r="21" spans="2:25" ht="18" x14ac:dyDescent="0.3">
      <c r="U21" s="37" t="s">
        <v>215</v>
      </c>
      <c r="V21" s="39">
        <f>SUM(S8:S14)</f>
        <v>5170.0450015966471</v>
      </c>
      <c r="W21" s="37" t="s">
        <v>216</v>
      </c>
      <c r="X21" s="66">
        <f>V21/$V$15</f>
        <v>53.80963106613256</v>
      </c>
    </row>
    <row r="23" spans="2:25" ht="18" x14ac:dyDescent="0.3">
      <c r="U23" s="37" t="s">
        <v>214</v>
      </c>
      <c r="V23" s="39">
        <f>SUM(T8:T14)</f>
        <v>520.09156582310447</v>
      </c>
      <c r="W23" s="37" t="s">
        <v>218</v>
      </c>
      <c r="X23" s="66">
        <f>V23/$V$15</f>
        <v>5.4130931682230328</v>
      </c>
    </row>
    <row r="24" spans="2:25" ht="15.75" thickBot="1" x14ac:dyDescent="0.25"/>
    <row r="25" spans="2:25" ht="19.5" thickBot="1" x14ac:dyDescent="0.3">
      <c r="B25" s="6" t="s">
        <v>15</v>
      </c>
    </row>
    <row r="27" spans="2:25" x14ac:dyDescent="0.2">
      <c r="B27" s="4" t="s">
        <v>6</v>
      </c>
      <c r="C27" s="7">
        <v>1095.5</v>
      </c>
      <c r="D27" s="5"/>
      <c r="E27" s="5"/>
    </row>
    <row r="28" spans="2:25" x14ac:dyDescent="0.2">
      <c r="B28" s="4" t="s">
        <v>7</v>
      </c>
      <c r="C28" s="7">
        <v>1742.8</v>
      </c>
      <c r="D28" s="4" t="s">
        <v>11</v>
      </c>
      <c r="E28" s="7">
        <f>C28-C27</f>
        <v>647.29999999999995</v>
      </c>
    </row>
    <row r="30" spans="2:25" ht="21" x14ac:dyDescent="0.35">
      <c r="B30" s="10" t="s">
        <v>0</v>
      </c>
      <c r="C30" s="10" t="s">
        <v>56</v>
      </c>
      <c r="E30" s="10" t="s">
        <v>63</v>
      </c>
      <c r="F30" s="10" t="s">
        <v>57</v>
      </c>
      <c r="G30" s="10" t="s">
        <v>198</v>
      </c>
      <c r="H30" s="10" t="s">
        <v>62</v>
      </c>
      <c r="I30" s="10" t="s">
        <v>199</v>
      </c>
      <c r="J30" s="10" t="s">
        <v>200</v>
      </c>
      <c r="K30" s="10" t="s">
        <v>201</v>
      </c>
      <c r="L30" s="10" t="s">
        <v>202</v>
      </c>
      <c r="M30" s="10" t="s">
        <v>203</v>
      </c>
      <c r="N30" s="10" t="s">
        <v>204</v>
      </c>
      <c r="O30" s="10" t="s">
        <v>205</v>
      </c>
      <c r="P30" s="10" t="s">
        <v>206</v>
      </c>
      <c r="Q30" s="77" t="s">
        <v>207</v>
      </c>
      <c r="R30" s="77" t="s">
        <v>208</v>
      </c>
      <c r="S30" s="77" t="s">
        <v>209</v>
      </c>
      <c r="T30" s="77" t="s">
        <v>210</v>
      </c>
    </row>
    <row r="31" spans="2:25" x14ac:dyDescent="0.2">
      <c r="B31" s="85">
        <v>12.5</v>
      </c>
      <c r="C31" s="3">
        <v>22.5</v>
      </c>
      <c r="E31" s="11">
        <f>C31/$E$28*100</f>
        <v>3.4759771357948401</v>
      </c>
      <c r="F31" s="85" t="str">
        <f>IF(E31&lt;10, "SI","NO")</f>
        <v>SI</v>
      </c>
      <c r="G31" s="3">
        <v>22.5</v>
      </c>
      <c r="H31" s="85">
        <v>0</v>
      </c>
      <c r="I31" s="8">
        <v>19.5</v>
      </c>
      <c r="J31" s="8">
        <v>3</v>
      </c>
      <c r="K31" s="8">
        <v>14.5</v>
      </c>
      <c r="L31" s="8">
        <v>0</v>
      </c>
      <c r="M31" s="39">
        <f>I31/G31*100</f>
        <v>86.666666666666671</v>
      </c>
      <c r="N31" s="39">
        <f>J31/G31*100</f>
        <v>13.333333333333334</v>
      </c>
      <c r="O31" s="39">
        <f>K31/G31*100</f>
        <v>64.444444444444443</v>
      </c>
      <c r="P31" s="39">
        <f>L31/G31*100</f>
        <v>0</v>
      </c>
      <c r="Q31" s="39">
        <f>E31*M31</f>
        <v>301.25135176888614</v>
      </c>
      <c r="R31" s="39">
        <f>E31*N31</f>
        <v>46.34636181059787</v>
      </c>
      <c r="S31" s="39">
        <f>E31*O31</f>
        <v>224.00741541788969</v>
      </c>
      <c r="T31" s="39">
        <f>E31*P31</f>
        <v>0</v>
      </c>
    </row>
    <row r="32" spans="2:25" x14ac:dyDescent="0.2">
      <c r="B32" s="85">
        <v>11.2</v>
      </c>
      <c r="C32" s="3">
        <v>75.3</v>
      </c>
      <c r="E32" s="11">
        <f t="shared" ref="E32:E37" si="10">C32/$E$28*100</f>
        <v>11.632936814460065</v>
      </c>
      <c r="F32" s="85" t="str">
        <f t="shared" ref="F32:F38" si="11">IF(E32&lt;10, "SI","NO")</f>
        <v>NO</v>
      </c>
      <c r="G32" s="3">
        <v>75.3</v>
      </c>
      <c r="H32" s="85">
        <v>0</v>
      </c>
      <c r="I32" s="8">
        <v>65.8</v>
      </c>
      <c r="J32" s="8">
        <v>9.5</v>
      </c>
      <c r="K32" s="8">
        <v>36.700000000000003</v>
      </c>
      <c r="L32" s="8">
        <v>6.5</v>
      </c>
      <c r="M32" s="39">
        <f t="shared" ref="M32:M37" si="12">I32/G32*100</f>
        <v>87.383798140770253</v>
      </c>
      <c r="N32" s="39">
        <f t="shared" ref="N32:N37" si="13">J32/G32*100</f>
        <v>12.616201859229747</v>
      </c>
      <c r="O32" s="39">
        <f t="shared" ref="O32:O37" si="14">K32/G32*100</f>
        <v>48.738379814077035</v>
      </c>
      <c r="P32" s="39">
        <f t="shared" ref="P32:P37" si="15">L32/G32*100</f>
        <v>8.6321381142098286</v>
      </c>
      <c r="Q32" s="39">
        <f t="shared" ref="Q32:Q37" si="16">E32*M32</f>
        <v>1016.5302023791132</v>
      </c>
      <c r="R32" s="39">
        <f t="shared" ref="R32:R37" si="17">E32*N32</f>
        <v>146.76347906689324</v>
      </c>
      <c r="S32" s="39">
        <f t="shared" ref="S32:S37" si="18">E32*O32</f>
        <v>566.97049281631405</v>
      </c>
      <c r="T32" s="39">
        <f t="shared" ref="T32:T37" si="19">E32*P32</f>
        <v>100.4171172562954</v>
      </c>
    </row>
    <row r="33" spans="2:24" x14ac:dyDescent="0.2">
      <c r="B33" s="85">
        <v>10</v>
      </c>
      <c r="C33" s="3">
        <v>71.400000000000006</v>
      </c>
      <c r="E33" s="11">
        <f t="shared" si="10"/>
        <v>11.030434110922293</v>
      </c>
      <c r="F33" s="85" t="str">
        <f t="shared" si="11"/>
        <v>NO</v>
      </c>
      <c r="G33" s="3">
        <v>71.400000000000006</v>
      </c>
      <c r="H33" s="85">
        <v>0</v>
      </c>
      <c r="I33" s="8">
        <v>55.8</v>
      </c>
      <c r="J33" s="8">
        <v>15.6</v>
      </c>
      <c r="K33" s="8">
        <v>36.200000000000003</v>
      </c>
      <c r="L33" s="8">
        <v>6.1</v>
      </c>
      <c r="M33" s="39">
        <f t="shared" si="12"/>
        <v>78.151260504201673</v>
      </c>
      <c r="N33" s="39">
        <f t="shared" si="13"/>
        <v>21.848739495798316</v>
      </c>
      <c r="O33" s="39">
        <f t="shared" si="14"/>
        <v>50.700280112044815</v>
      </c>
      <c r="P33" s="39">
        <f t="shared" si="15"/>
        <v>8.5434173669467768</v>
      </c>
      <c r="Q33" s="39">
        <f t="shared" si="16"/>
        <v>862.04232967712028</v>
      </c>
      <c r="R33" s="39">
        <f t="shared" si="17"/>
        <v>241.0010814151089</v>
      </c>
      <c r="S33" s="39">
        <f t="shared" si="18"/>
        <v>559.24609918121428</v>
      </c>
      <c r="T33" s="39">
        <f t="shared" si="19"/>
        <v>94.237602348215646</v>
      </c>
    </row>
    <row r="34" spans="2:24" x14ac:dyDescent="0.2">
      <c r="B34" s="85">
        <v>8</v>
      </c>
      <c r="C34" s="3">
        <v>125.1</v>
      </c>
      <c r="E34" s="11">
        <f t="shared" si="10"/>
        <v>19.326432875019311</v>
      </c>
      <c r="F34" s="85" t="str">
        <f t="shared" si="11"/>
        <v>NO</v>
      </c>
      <c r="G34" s="3">
        <v>125.1</v>
      </c>
      <c r="H34" s="85">
        <v>0</v>
      </c>
      <c r="I34" s="8">
        <v>106.6</v>
      </c>
      <c r="J34" s="8">
        <v>18.5</v>
      </c>
      <c r="K34" s="8">
        <v>68.400000000000006</v>
      </c>
      <c r="L34" s="8">
        <v>7.4</v>
      </c>
      <c r="M34" s="39">
        <f t="shared" si="12"/>
        <v>85.211830535571536</v>
      </c>
      <c r="N34" s="39">
        <f t="shared" si="13"/>
        <v>14.788169464428458</v>
      </c>
      <c r="O34" s="39">
        <f t="shared" si="14"/>
        <v>54.676258992805757</v>
      </c>
      <c r="P34" s="39">
        <f t="shared" si="15"/>
        <v>5.9152677857713831</v>
      </c>
      <c r="Q34" s="39">
        <f t="shared" si="16"/>
        <v>1646.8407230032442</v>
      </c>
      <c r="R34" s="39">
        <f t="shared" si="17"/>
        <v>285.80256449868688</v>
      </c>
      <c r="S34" s="39">
        <f t="shared" si="18"/>
        <v>1056.6970492816315</v>
      </c>
      <c r="T34" s="39">
        <f t="shared" si="19"/>
        <v>114.32102579947474</v>
      </c>
    </row>
    <row r="35" spans="2:24" x14ac:dyDescent="0.2">
      <c r="B35" s="85">
        <v>6.3</v>
      </c>
      <c r="C35" s="3">
        <v>140.80000000000001</v>
      </c>
      <c r="E35" s="11">
        <f t="shared" si="10"/>
        <v>21.751892476440602</v>
      </c>
      <c r="F35" s="85" t="str">
        <f t="shared" si="11"/>
        <v>NO</v>
      </c>
      <c r="G35" s="3">
        <v>67.2</v>
      </c>
      <c r="H35" s="85">
        <v>1</v>
      </c>
      <c r="I35" s="8">
        <v>59.2</v>
      </c>
      <c r="J35" s="8">
        <v>8</v>
      </c>
      <c r="K35" s="8">
        <v>39.5</v>
      </c>
      <c r="L35" s="8">
        <v>1.1000000000000001</v>
      </c>
      <c r="M35" s="39">
        <f t="shared" si="12"/>
        <v>88.095238095238088</v>
      </c>
      <c r="N35" s="39">
        <f t="shared" si="13"/>
        <v>11.904761904761903</v>
      </c>
      <c r="O35" s="39">
        <f t="shared" si="14"/>
        <v>58.779761904761905</v>
      </c>
      <c r="P35" s="39">
        <f t="shared" si="15"/>
        <v>1.6369047619047621</v>
      </c>
      <c r="Q35" s="39">
        <f t="shared" si="16"/>
        <v>1916.2381467340529</v>
      </c>
      <c r="R35" s="39">
        <f t="shared" si="17"/>
        <v>258.95110091000714</v>
      </c>
      <c r="S35" s="39">
        <f t="shared" si="18"/>
        <v>1278.5710607431604</v>
      </c>
      <c r="T35" s="39">
        <f t="shared" si="19"/>
        <v>35.605776375125991</v>
      </c>
    </row>
    <row r="36" spans="2:24" x14ac:dyDescent="0.2">
      <c r="B36" s="85">
        <v>5</v>
      </c>
      <c r="C36" s="3">
        <v>113.3</v>
      </c>
      <c r="E36" s="11">
        <f t="shared" si="10"/>
        <v>17.503475977135796</v>
      </c>
      <c r="F36" s="85" t="str">
        <f t="shared" si="11"/>
        <v>NO</v>
      </c>
      <c r="G36" s="3">
        <v>24.9</v>
      </c>
      <c r="H36" s="85">
        <v>2</v>
      </c>
      <c r="I36" s="8">
        <v>22.2</v>
      </c>
      <c r="J36" s="8">
        <v>2.7</v>
      </c>
      <c r="K36" s="8">
        <v>13.8</v>
      </c>
      <c r="L36" s="8">
        <v>0.8</v>
      </c>
      <c r="M36" s="39">
        <f t="shared" si="12"/>
        <v>89.156626506024097</v>
      </c>
      <c r="N36" s="39">
        <f t="shared" si="13"/>
        <v>10.843373493975905</v>
      </c>
      <c r="O36" s="39">
        <f t="shared" si="14"/>
        <v>55.421686746987952</v>
      </c>
      <c r="P36" s="39">
        <f t="shared" si="15"/>
        <v>3.2128514056224904</v>
      </c>
      <c r="Q36" s="39">
        <f t="shared" si="16"/>
        <v>1560.5508702506613</v>
      </c>
      <c r="R36" s="39">
        <f t="shared" si="17"/>
        <v>189.79672746291831</v>
      </c>
      <c r="S36" s="39">
        <f t="shared" si="18"/>
        <v>970.07216258824894</v>
      </c>
      <c r="T36" s="39">
        <f t="shared" si="19"/>
        <v>56.236067396420239</v>
      </c>
    </row>
    <row r="37" spans="2:24" x14ac:dyDescent="0.2">
      <c r="B37" s="85">
        <v>4</v>
      </c>
      <c r="C37" s="3">
        <v>89.3</v>
      </c>
      <c r="D37" s="3" t="s">
        <v>8</v>
      </c>
      <c r="E37" s="11">
        <f t="shared" si="10"/>
        <v>13.795767032287968</v>
      </c>
      <c r="F37" s="85" t="str">
        <f t="shared" si="11"/>
        <v>NO</v>
      </c>
      <c r="G37" s="3">
        <v>20</v>
      </c>
      <c r="H37" s="85">
        <v>2</v>
      </c>
      <c r="I37" s="8">
        <v>18.2</v>
      </c>
      <c r="J37" s="8">
        <v>1.8</v>
      </c>
      <c r="K37" s="8">
        <v>11.5</v>
      </c>
      <c r="L37" s="8">
        <v>0.9</v>
      </c>
      <c r="M37" s="39">
        <f t="shared" si="12"/>
        <v>90.999999999999986</v>
      </c>
      <c r="N37" s="39">
        <f t="shared" si="13"/>
        <v>9</v>
      </c>
      <c r="O37" s="39">
        <f t="shared" si="14"/>
        <v>57.499999999999993</v>
      </c>
      <c r="P37" s="39">
        <f t="shared" si="15"/>
        <v>4.5</v>
      </c>
      <c r="Q37" s="39">
        <f t="shared" si="16"/>
        <v>1255.4147999382049</v>
      </c>
      <c r="R37" s="39">
        <f t="shared" si="17"/>
        <v>124.16190329059171</v>
      </c>
      <c r="S37" s="39">
        <f t="shared" si="18"/>
        <v>793.256604356558</v>
      </c>
      <c r="T37" s="39">
        <f t="shared" si="19"/>
        <v>62.080951645295855</v>
      </c>
    </row>
    <row r="38" spans="2:24" ht="18" x14ac:dyDescent="0.3">
      <c r="B38" s="85" t="s">
        <v>197</v>
      </c>
      <c r="C38" s="3">
        <v>8.1999999999999993</v>
      </c>
      <c r="D38" s="8">
        <f>$E$28-(SUM(C31:C37))</f>
        <v>9.6000000000000227</v>
      </c>
      <c r="E38" s="11">
        <f>D38/$E$28*100</f>
        <v>1.4830835779391354</v>
      </c>
      <c r="F38" s="85" t="str">
        <f t="shared" si="11"/>
        <v>SI</v>
      </c>
      <c r="O38" s="39"/>
      <c r="P38" s="8"/>
      <c r="Q38" s="11"/>
      <c r="R38" s="11"/>
      <c r="S38" s="11"/>
      <c r="T38" s="11"/>
      <c r="U38" s="37" t="s">
        <v>67</v>
      </c>
      <c r="V38" s="39">
        <f>SUM(E31:E37)</f>
        <v>98.516916422060874</v>
      </c>
    </row>
    <row r="39" spans="2:24" x14ac:dyDescent="0.2">
      <c r="P39" s="8"/>
      <c r="V39" s="85"/>
    </row>
    <row r="40" spans="2:24" ht="18" x14ac:dyDescent="0.3">
      <c r="E40" s="85" t="s">
        <v>9</v>
      </c>
      <c r="F40" s="36" t="s">
        <v>58</v>
      </c>
      <c r="P40" s="8"/>
      <c r="U40" s="37" t="s">
        <v>211</v>
      </c>
      <c r="V40" s="39">
        <f>SUM(Q31:Q37)</f>
        <v>8558.8684237512825</v>
      </c>
      <c r="W40" s="37" t="s">
        <v>212</v>
      </c>
      <c r="X40" s="66">
        <f>V40/$V$38</f>
        <v>86.877144906605068</v>
      </c>
    </row>
    <row r="41" spans="2:24" x14ac:dyDescent="0.2">
      <c r="E41" s="11">
        <f>SUM(E31:E40)</f>
        <v>100.00000000000001</v>
      </c>
      <c r="F41" s="36" t="s">
        <v>59</v>
      </c>
      <c r="V41" s="85"/>
    </row>
    <row r="42" spans="2:24" ht="18" x14ac:dyDescent="0.3">
      <c r="U42" s="37" t="s">
        <v>213</v>
      </c>
      <c r="V42" s="39">
        <f>SUM(R31:R37)</f>
        <v>1292.8232184548042</v>
      </c>
      <c r="W42" s="37" t="s">
        <v>217</v>
      </c>
      <c r="X42" s="66">
        <f>V42/$V$38</f>
        <v>13.12285509339493</v>
      </c>
    </row>
    <row r="44" spans="2:24" ht="18" x14ac:dyDescent="0.3">
      <c r="U44" s="37" t="s">
        <v>215</v>
      </c>
      <c r="V44" s="39">
        <f>SUM(S31:S37)</f>
        <v>5448.8208843850171</v>
      </c>
      <c r="W44" s="37" t="s">
        <v>216</v>
      </c>
      <c r="X44" s="66">
        <f>V44/$V$38</f>
        <v>55.308479825347675</v>
      </c>
    </row>
    <row r="46" spans="2:24" ht="18" x14ac:dyDescent="0.3">
      <c r="U46" s="37" t="s">
        <v>214</v>
      </c>
      <c r="V46" s="39">
        <f>SUM(T31:T37)</f>
        <v>462.89854082082786</v>
      </c>
      <c r="W46" s="37" t="s">
        <v>218</v>
      </c>
      <c r="X46" s="66">
        <f>V46/$V$38</f>
        <v>4.6986706205633038</v>
      </c>
    </row>
    <row r="47" spans="2:24" ht="15.75" thickBot="1" x14ac:dyDescent="0.25"/>
    <row r="48" spans="2:24" ht="19.5" thickBot="1" x14ac:dyDescent="0.3">
      <c r="B48" s="6" t="s">
        <v>17</v>
      </c>
    </row>
    <row r="50" spans="2:5" ht="18" x14ac:dyDescent="0.3">
      <c r="B50" s="117" t="s">
        <v>212</v>
      </c>
      <c r="C50" s="118"/>
      <c r="D50" s="119"/>
      <c r="E50" s="66">
        <f>AVERAGE(X17,X40)</f>
        <v>81.779492725890009</v>
      </c>
    </row>
    <row r="51" spans="2:5" x14ac:dyDescent="0.2">
      <c r="E51" s="78"/>
    </row>
    <row r="52" spans="2:5" ht="18" x14ac:dyDescent="0.3">
      <c r="B52" s="117" t="s">
        <v>217</v>
      </c>
      <c r="C52" s="118"/>
      <c r="D52" s="119"/>
      <c r="E52" s="66">
        <f t="shared" ref="E52:E56" si="20">AVERAGE(X19,X42)</f>
        <v>18.220507274109981</v>
      </c>
    </row>
    <row r="53" spans="2:5" x14ac:dyDescent="0.2">
      <c r="E53" s="78"/>
    </row>
    <row r="54" spans="2:5" ht="18" x14ac:dyDescent="0.3">
      <c r="B54" s="117" t="s">
        <v>216</v>
      </c>
      <c r="C54" s="118"/>
      <c r="D54" s="119"/>
      <c r="E54" s="66">
        <f t="shared" si="20"/>
        <v>54.559055445740114</v>
      </c>
    </row>
    <row r="55" spans="2:5" x14ac:dyDescent="0.2">
      <c r="E55" s="78"/>
    </row>
    <row r="56" spans="2:5" ht="18" x14ac:dyDescent="0.3">
      <c r="B56" s="117" t="s">
        <v>218</v>
      </c>
      <c r="C56" s="118"/>
      <c r="D56" s="119"/>
      <c r="E56" s="66">
        <f t="shared" si="20"/>
        <v>5.0558818943931687</v>
      </c>
    </row>
  </sheetData>
  <mergeCells count="4">
    <mergeCell ref="B50:D50"/>
    <mergeCell ref="B52:D52"/>
    <mergeCell ref="B54:D54"/>
    <mergeCell ref="B56:D56"/>
  </mergeCells>
  <pageMargins left="0.7" right="0.7" top="0.75" bottom="0.75" header="0.3" footer="0.3"/>
  <pageSetup paperSize="9" orientation="portrait" horizontalDpi="4294967292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Hojas de cálculo</vt:lpstr>
      </vt:variant>
      <vt:variant>
        <vt:i4>28</vt:i4>
      </vt:variant>
    </vt:vector>
  </HeadingPairs>
  <TitlesOfParts>
    <vt:vector size="28" baseType="lpstr">
      <vt:lpstr>Granulometría 0-31,5mm</vt:lpstr>
      <vt:lpstr>Granulometría 4-12,5mm</vt:lpstr>
      <vt:lpstr>Granulometría 0-4 mm</vt:lpstr>
      <vt:lpstr>Humedad 4-12,5mm</vt:lpstr>
      <vt:lpstr>Índice lajas 4-12,5mm</vt:lpstr>
      <vt:lpstr>Coef forma UNE-933-4 4-12,5mm</vt:lpstr>
      <vt:lpstr>Angularity number 4-12,5mm</vt:lpstr>
      <vt:lpstr>Coef forma UNE-7238 6,3-12,5mm</vt:lpstr>
      <vt:lpstr>% caras fractura 4-12,5mm</vt:lpstr>
      <vt:lpstr>Desgaste Los Ángeles10-14mm</vt:lpstr>
      <vt:lpstr>Componentes AR</vt:lpstr>
      <vt:lpstr>Mortero adherido 8-12,5mm</vt:lpstr>
      <vt:lpstr>Mortero adherido 4-8mm</vt:lpstr>
      <vt:lpstr>Sulfato de magnesio 10-14mm</vt:lpstr>
      <vt:lpstr>Hielo y deshielo 8-16mm</vt:lpstr>
      <vt:lpstr>Densidad y absorción 4-12,5mm</vt:lpstr>
      <vt:lpstr>Densidad y absorción 0-4mm</vt:lpstr>
      <vt:lpstr>Absorción 10 min 4-12,5mm</vt:lpstr>
      <vt:lpstr>Absorción 10 min 0-4mm</vt:lpstr>
      <vt:lpstr>Densidad conjunto 0-31,5mm</vt:lpstr>
      <vt:lpstr>Densidad conjunto 0-12,5mm</vt:lpstr>
      <vt:lpstr>Densidad conjunto 4-12,5mm</vt:lpstr>
      <vt:lpstr>Densidad conjunto 0-4mm</vt:lpstr>
      <vt:lpstr>Equivalente de arena 0-2mm</vt:lpstr>
      <vt:lpstr>Equivalente de arena 0-4mm</vt:lpstr>
      <vt:lpstr>Azul de metileno</vt:lpstr>
      <vt:lpstr>Friabilidad 0-4mm</vt:lpstr>
      <vt:lpstr>Otros (componentes)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Víctor Revilla</dc:creator>
  <cp:lastModifiedBy>VICTOR REVILLA CUESTA</cp:lastModifiedBy>
  <dcterms:created xsi:type="dcterms:W3CDTF">2018-11-17T09:08:17Z</dcterms:created>
  <dcterms:modified xsi:type="dcterms:W3CDTF">2019-11-21T16:42:30Z</dcterms:modified>
</cp:coreProperties>
</file>